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XRYA\Downloads\"/>
    </mc:Choice>
  </mc:AlternateContent>
  <xr:revisionPtr revIDLastSave="0" documentId="13_ncr:1_{FFE032FD-E689-4C07-BE67-ACF188C5127F}" xr6:coauthVersionLast="47" xr6:coauthVersionMax="47" xr10:uidLastSave="{00000000-0000-0000-0000-000000000000}"/>
  <bookViews>
    <workbookView xWindow="16080" yWindow="-120" windowWidth="29040" windowHeight="15990" activeTab="1" xr2:uid="{00000000-000D-0000-FFFF-FFFF00000000}"/>
  </bookViews>
  <sheets>
    <sheet name="Instructions" sheetId="6" r:id="rId1"/>
    <sheet name="Access" sheetId="1" r:id="rId2"/>
    <sheet name="Amendment" sheetId="2" r:id="rId3"/>
    <sheet name="Internal Review" sheetId="3" r:id="rId4"/>
    <sheet name="Reporting Summary" sheetId="4" r:id="rId5"/>
    <sheet name="Public Holidays and Fees"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1" l="1"/>
  <c r="F4" i="2"/>
  <c r="F4" i="3"/>
  <c r="J4" i="1"/>
  <c r="Y4" i="1"/>
  <c r="G16" i="4" l="1"/>
  <c r="G15" i="4"/>
  <c r="G14" i="4"/>
  <c r="G13" i="4"/>
  <c r="G12" i="4"/>
  <c r="G10" i="4"/>
  <c r="G9" i="4"/>
  <c r="G8" i="4"/>
  <c r="G7" i="4"/>
  <c r="G6" i="4"/>
  <c r="I4" i="1"/>
  <c r="M6" i="4"/>
  <c r="D20" i="4"/>
  <c r="G4" i="2"/>
  <c r="D21" i="4"/>
  <c r="E4" i="2"/>
  <c r="M5" i="4" s="1"/>
  <c r="M27" i="4"/>
  <c r="M26" i="4"/>
  <c r="M25" i="4"/>
  <c r="M24" i="4"/>
  <c r="E4" i="3"/>
  <c r="M17" i="4"/>
  <c r="M18" i="4"/>
  <c r="Q4" i="1"/>
  <c r="J36" i="4"/>
  <c r="J35" i="4"/>
  <c r="J34" i="4"/>
  <c r="J33" i="4"/>
  <c r="J32" i="4"/>
  <c r="J31" i="4"/>
  <c r="J30" i="4"/>
  <c r="J29" i="4"/>
  <c r="J28" i="4"/>
  <c r="J27" i="4"/>
  <c r="J26" i="4"/>
  <c r="J25" i="4"/>
  <c r="J24" i="4"/>
  <c r="J22" i="4"/>
  <c r="J21" i="4"/>
  <c r="J20" i="4"/>
  <c r="J19" i="4"/>
  <c r="J18" i="4"/>
  <c r="J23" i="4"/>
  <c r="M14" i="4"/>
  <c r="J6" i="4"/>
  <c r="J5" i="4"/>
  <c r="D9" i="4" l="1"/>
  <c r="M32" i="4"/>
  <c r="D6" i="4"/>
  <c r="M7" i="4"/>
  <c r="D23" i="4"/>
  <c r="D8" i="4"/>
  <c r="D7" i="4"/>
  <c r="D12" i="4"/>
  <c r="D28" i="4"/>
  <c r="D15" i="4"/>
  <c r="D14" i="4"/>
  <c r="D13" i="4"/>
  <c r="S4" i="1"/>
  <c r="D22" i="4" s="1"/>
  <c r="R4" i="1"/>
  <c r="G19" i="4" s="1"/>
  <c r="M35" i="4"/>
  <c r="M23" i="4"/>
  <c r="M33" i="4"/>
  <c r="M34" i="4"/>
  <c r="M36" i="4"/>
  <c r="M37" i="4"/>
  <c r="D26" i="4"/>
  <c r="D27" i="4"/>
  <c r="G21" i="4" l="1"/>
  <c r="G20" i="4"/>
  <c r="D16" i="4"/>
  <c r="D10" i="4"/>
  <c r="M10" i="4"/>
  <c r="M11" i="4"/>
  <c r="M12" i="4"/>
  <c r="M13" i="4"/>
  <c r="J15" i="4"/>
  <c r="J14" i="4"/>
  <c r="J13" i="4"/>
  <c r="J12" i="4"/>
  <c r="J11" i="4"/>
  <c r="J10" i="4"/>
  <c r="J9" i="4"/>
  <c r="D17" i="4" l="1"/>
</calcChain>
</file>

<file path=xl/sharedStrings.xml><?xml version="1.0" encoding="utf-8"?>
<sst xmlns="http://schemas.openxmlformats.org/spreadsheetml/2006/main" count="322" uniqueCount="250">
  <si>
    <t>Due Date</t>
  </si>
  <si>
    <t>Outcome</t>
  </si>
  <si>
    <t>14(a)</t>
  </si>
  <si>
    <t>14(b)</t>
  </si>
  <si>
    <t>Media</t>
  </si>
  <si>
    <t>Public</t>
  </si>
  <si>
    <t>Transferred in full</t>
  </si>
  <si>
    <t>Record does not exist or is lost</t>
  </si>
  <si>
    <t>18(1)</t>
  </si>
  <si>
    <t>18(2)(a)</t>
  </si>
  <si>
    <t>18(3)</t>
  </si>
  <si>
    <t>19(2)</t>
  </si>
  <si>
    <t>Negotiated</t>
  </si>
  <si>
    <t>Refused</t>
  </si>
  <si>
    <t>Personal</t>
  </si>
  <si>
    <t>Fully amended</t>
  </si>
  <si>
    <t>Partially amended</t>
  </si>
  <si>
    <t>Refused amendment</t>
  </si>
  <si>
    <t>Fees and Charges</t>
  </si>
  <si>
    <t>Member of Parliament</t>
  </si>
  <si>
    <t>Total apps</t>
  </si>
  <si>
    <t>Unfinished</t>
  </si>
  <si>
    <t>Extension of Time Limit (S14A)</t>
  </si>
  <si>
    <t>Outcome of Access Apps</t>
  </si>
  <si>
    <t>Reasons for restricting or refusing access</t>
  </si>
  <si>
    <t>Exemptions cited</t>
  </si>
  <si>
    <t>determined within timeframe</t>
  </si>
  <si>
    <t>determined but not within timeframe</t>
  </si>
  <si>
    <t>Fee and charges</t>
  </si>
  <si>
    <t>Fees and charges collected ($)</t>
  </si>
  <si>
    <t>Fees waived - Member of Parliament (qty)</t>
  </si>
  <si>
    <t>Fees waived - Financially disadvantaged (qty)</t>
  </si>
  <si>
    <t>Fees waived - Other (discretion exercised) (qty)</t>
  </si>
  <si>
    <t>Reviews and Appeals</t>
  </si>
  <si>
    <t>Internal Review apps</t>
  </si>
  <si>
    <t>Outcome - confirmed</t>
  </si>
  <si>
    <t>Outcome - varied</t>
  </si>
  <si>
    <t>Outcome - reversed</t>
  </si>
  <si>
    <t>Outcome - withdrawn</t>
  </si>
  <si>
    <t>15</t>
  </si>
  <si>
    <t>1</t>
  </si>
  <si>
    <t>2</t>
  </si>
  <si>
    <t>3</t>
  </si>
  <si>
    <t>4</t>
  </si>
  <si>
    <t>5</t>
  </si>
  <si>
    <t>6</t>
  </si>
  <si>
    <t>7</t>
  </si>
  <si>
    <t>8</t>
  </si>
  <si>
    <t>9</t>
  </si>
  <si>
    <t>10</t>
  </si>
  <si>
    <t>11</t>
  </si>
  <si>
    <t>12</t>
  </si>
  <si>
    <t>13</t>
  </si>
  <si>
    <t>14</t>
  </si>
  <si>
    <t>16</t>
  </si>
  <si>
    <t>17</t>
  </si>
  <si>
    <t>18</t>
  </si>
  <si>
    <t>19</t>
  </si>
  <si>
    <t>Total</t>
  </si>
  <si>
    <t>Date</t>
  </si>
  <si>
    <t>Labour Day</t>
  </si>
  <si>
    <t>Christmas Day</t>
  </si>
  <si>
    <t>Boxing Day</t>
  </si>
  <si>
    <t>New Years Day</t>
  </si>
  <si>
    <t>Australia Day</t>
  </si>
  <si>
    <t>Adelaide Cup Day</t>
  </si>
  <si>
    <t>Good Friday</t>
  </si>
  <si>
    <t>Easter Saturday</t>
  </si>
  <si>
    <t>Easter Monday</t>
  </si>
  <si>
    <t>Queens Birthday</t>
  </si>
  <si>
    <r>
      <t xml:space="preserve">Time taken to respond
</t>
    </r>
    <r>
      <rPr>
        <sz val="8"/>
        <color theme="0" tint="-0.249977111117893"/>
        <rFont val="Arial Nova"/>
        <family val="2"/>
      </rPr>
      <t>(auto calculated)</t>
    </r>
  </si>
  <si>
    <r>
      <t xml:space="preserve">Determination status
</t>
    </r>
    <r>
      <rPr>
        <sz val="8"/>
        <color theme="0" tint="-0.249977111117893"/>
        <rFont val="Arial Nova"/>
        <family val="2"/>
      </rPr>
      <t>(auto calculated)</t>
    </r>
  </si>
  <si>
    <t>20(1)(b),(c),(d)</t>
  </si>
  <si>
    <t>S15</t>
  </si>
  <si>
    <t xml:space="preserve">S15
</t>
  </si>
  <si>
    <t xml:space="preserve">S18(1)
</t>
  </si>
  <si>
    <t xml:space="preserve">S18(2)(a)
</t>
  </si>
  <si>
    <t xml:space="preserve">S18(3)
</t>
  </si>
  <si>
    <t xml:space="preserve">S19(2)
</t>
  </si>
  <si>
    <t xml:space="preserve">S20(1)(b),(c),(d)
</t>
  </si>
  <si>
    <r>
      <t xml:space="preserve">Applicant name
</t>
    </r>
    <r>
      <rPr>
        <sz val="8"/>
        <color theme="0"/>
        <rFont val="Arial Nova"/>
        <family val="2"/>
      </rPr>
      <t>(free text)</t>
    </r>
  </si>
  <si>
    <r>
      <t xml:space="preserve">Details of request
</t>
    </r>
    <r>
      <rPr>
        <sz val="8"/>
        <color theme="0"/>
        <rFont val="Arial Nova"/>
        <family val="2"/>
      </rPr>
      <t>(free text)</t>
    </r>
  </si>
  <si>
    <r>
      <rPr>
        <sz val="11"/>
        <color rgb="FFFF8989"/>
        <rFont val="Arial Nova"/>
        <family val="2"/>
      </rPr>
      <t>If fees were waived, select the reason for waiving.  If not, leave blank.</t>
    </r>
    <r>
      <rPr>
        <sz val="12"/>
        <color rgb="FFFF8989"/>
        <rFont val="Arial Nova"/>
        <family val="2"/>
      </rPr>
      <t xml:space="preserve">
</t>
    </r>
    <r>
      <rPr>
        <sz val="8"/>
        <color rgb="FFFF8989"/>
        <rFont val="Arial Nova"/>
        <family val="2"/>
      </rPr>
      <t>(drop down)</t>
    </r>
  </si>
  <si>
    <t>Fee type</t>
  </si>
  <si>
    <t>Amount ($)</t>
  </si>
  <si>
    <t>Processing fee (per hr)</t>
  </si>
  <si>
    <t>Photocopies (per pge)</t>
  </si>
  <si>
    <t>Transcripts</t>
  </si>
  <si>
    <t>Application fee</t>
  </si>
  <si>
    <t>Date received</t>
  </si>
  <si>
    <t>Applicant name</t>
  </si>
  <si>
    <t>Details of request</t>
  </si>
  <si>
    <t>Access application data entry</t>
  </si>
  <si>
    <t>Amendment application data entry</t>
  </si>
  <si>
    <t>Internal Review application data entry</t>
  </si>
  <si>
    <t>Public Holidays and Fees</t>
  </si>
  <si>
    <t>Reporting Summary</t>
  </si>
  <si>
    <t xml:space="preserve">Each of the data entry sheets have been developed using Excel's "Table" function.  This allows Excel to manage and analyse groups of data more easily. </t>
  </si>
  <si>
    <t>To start a new line, click below the previous entry, begin typing and press TAB.</t>
  </si>
  <si>
    <t>Entering data</t>
  </si>
  <si>
    <t>Some of the cells require selection from a "drop down" menu.  
To access this menu:</t>
  </si>
  <si>
    <t>Drop-down options</t>
  </si>
  <si>
    <t>Purpose</t>
  </si>
  <si>
    <t>Non-personal</t>
  </si>
  <si>
    <t>Reasons for rejecting an application</t>
  </si>
  <si>
    <t>Full release</t>
  </si>
  <si>
    <t>Partial release</t>
  </si>
  <si>
    <t>Withdrawn/closed</t>
  </si>
  <si>
    <t>Unfinished Non-personal</t>
  </si>
  <si>
    <t>Unfinished Personal</t>
  </si>
  <si>
    <t>Unfinished (overdue) Personal</t>
  </si>
  <si>
    <t>Unfinished (overdue) Non-personal</t>
  </si>
  <si>
    <t>within extended timeframe</t>
  </si>
  <si>
    <t>within timeframe</t>
  </si>
  <si>
    <t>Unfinished (overdue)</t>
  </si>
  <si>
    <t>Notation added</t>
  </si>
  <si>
    <t>Outcome of Amendment App</t>
  </si>
  <si>
    <t>Fees and charges assessed ($)</t>
  </si>
  <si>
    <t>Determination/ Closed date</t>
  </si>
  <si>
    <r>
      <t xml:space="preserve">Due Date
</t>
    </r>
    <r>
      <rPr>
        <b/>
        <sz val="8"/>
        <color theme="0" tint="-0.249977111117893"/>
        <rFont val="Arial Nova"/>
        <family val="2"/>
      </rPr>
      <t>(automatically calculated)</t>
    </r>
  </si>
  <si>
    <r>
      <t xml:space="preserve">New due date
</t>
    </r>
    <r>
      <rPr>
        <sz val="8"/>
        <color theme="0" tint="-0.249977111117893"/>
        <rFont val="Arial Nova"/>
        <family val="2"/>
      </rPr>
      <t>(automatically calculated)</t>
    </r>
  </si>
  <si>
    <t>Applicant contact details</t>
  </si>
  <si>
    <t>Applicant postal address</t>
  </si>
  <si>
    <r>
      <t xml:space="preserve">Application Type
</t>
    </r>
    <r>
      <rPr>
        <sz val="8"/>
        <color rgb="FFFF8989"/>
        <rFont val="Arial Nova"/>
        <family val="2"/>
      </rPr>
      <t>(drop down)</t>
    </r>
  </si>
  <si>
    <r>
      <t xml:space="preserve">Extension type
</t>
    </r>
    <r>
      <rPr>
        <sz val="8"/>
        <color rgb="FFFF8989"/>
        <rFont val="Arial Nova"/>
        <family val="2"/>
      </rPr>
      <t>(drop down)</t>
    </r>
  </si>
  <si>
    <r>
      <t xml:space="preserve">Outcome
</t>
    </r>
    <r>
      <rPr>
        <sz val="8"/>
        <color rgb="FFFF8989"/>
        <rFont val="Arial Nova"/>
        <family val="2"/>
      </rPr>
      <t>(drop down)</t>
    </r>
  </si>
  <si>
    <r>
      <t xml:space="preserve">Date received
</t>
    </r>
    <r>
      <rPr>
        <sz val="8"/>
        <color rgb="FFFF8989"/>
        <rFont val="Arial Nova"/>
        <family val="2"/>
      </rPr>
      <t>(free text)</t>
    </r>
  </si>
  <si>
    <r>
      <t xml:space="preserve">Time taken to respond
</t>
    </r>
    <r>
      <rPr>
        <sz val="8"/>
        <color rgb="FFFF8989"/>
        <rFont val="Arial Nova"/>
        <family val="2"/>
      </rPr>
      <t>(drop down)</t>
    </r>
  </si>
  <si>
    <r>
      <t xml:space="preserve">Extension period </t>
    </r>
    <r>
      <rPr>
        <sz val="8"/>
        <color rgb="FFFF8989"/>
        <rFont val="Arial Nova"/>
        <family val="2"/>
      </rPr>
      <t>(days)</t>
    </r>
  </si>
  <si>
    <t>Time taken to respond to Amendment App</t>
  </si>
  <si>
    <t>Clause 1</t>
  </si>
  <si>
    <t>Clause 2</t>
  </si>
  <si>
    <t>Clause 3</t>
  </si>
  <si>
    <t>Clause 4</t>
  </si>
  <si>
    <t>Clause 5</t>
  </si>
  <si>
    <t>Clause 6</t>
  </si>
  <si>
    <t>Clause 7</t>
  </si>
  <si>
    <t>Clause 8</t>
  </si>
  <si>
    <t>Clause 9</t>
  </si>
  <si>
    <t>Clause 10</t>
  </si>
  <si>
    <t>Clause 11</t>
  </si>
  <si>
    <t>Clause 12</t>
  </si>
  <si>
    <t>Clause 13</t>
  </si>
  <si>
    <t>Clause 14</t>
  </si>
  <si>
    <t>Clause 15</t>
  </si>
  <si>
    <t>Clause 16</t>
  </si>
  <si>
    <t>Clause 17</t>
  </si>
  <si>
    <t>Clause 18</t>
  </si>
  <si>
    <t>Clause 19</t>
  </si>
  <si>
    <r>
      <t xml:space="preserve">Due Date
</t>
    </r>
    <r>
      <rPr>
        <b/>
        <sz val="8"/>
        <color theme="0" tint="-0.249977111117893"/>
        <rFont val="Arial Nova"/>
        <family val="2"/>
      </rPr>
      <t>(auto calculated)</t>
    </r>
  </si>
  <si>
    <t>Lawyer / Agent</t>
  </si>
  <si>
    <r>
      <t xml:space="preserve">Applicant Type
</t>
    </r>
    <r>
      <rPr>
        <b/>
        <sz val="8"/>
        <color rgb="FFFF8989"/>
        <rFont val="Arial Nova"/>
        <family val="2"/>
      </rPr>
      <t>(drop down)</t>
    </r>
  </si>
  <si>
    <t>Each section is distinguished by colour:</t>
  </si>
  <si>
    <t>Blue for Access Applications</t>
  </si>
  <si>
    <t>Green for Amendment Applications</t>
  </si>
  <si>
    <t>Teal for Internal Reviews</t>
  </si>
  <si>
    <t>Orange for Fees and Charges</t>
  </si>
  <si>
    <t>Table formulas</t>
  </si>
  <si>
    <t>Access Tab</t>
  </si>
  <si>
    <t>New Due Date</t>
  </si>
  <si>
    <t>App ID / Ref #</t>
  </si>
  <si>
    <t>Time taken to respond</t>
  </si>
  <si>
    <t>=IF([@[Determination/ Closed date]]="","",(IF(([@[Determination/ Closed date]]-[@[Date received]])&lt;=15,"0-15 days",IF(([@[Determination/ Closed date]]-[@[Date received]])&lt;=30,"16-30 days","&gt;30 days"))))</t>
  </si>
  <si>
    <t>Determination status</t>
  </si>
  <si>
    <t>Amendment Tab</t>
  </si>
  <si>
    <t>Internal Review</t>
  </si>
  <si>
    <t>1. Double click a cell below</t>
  </si>
  <si>
    <t>2. Highlight the text in the cell</t>
  </si>
  <si>
    <t>3. Navigate back to the cell with the broken formula and select it</t>
  </si>
  <si>
    <t>4. Copy the formula into the text bar above the spreadsheet (this should fix all cells in that column).</t>
  </si>
  <si>
    <t>To effectively replace a formula:</t>
  </si>
  <si>
    <r>
      <t xml:space="preserve">App ID / Ref #
</t>
    </r>
    <r>
      <rPr>
        <b/>
        <sz val="8"/>
        <color rgb="FFFF8989"/>
        <rFont val="Arial Nova"/>
        <family val="2"/>
      </rPr>
      <t>(free text)</t>
    </r>
  </si>
  <si>
    <t xml:space="preserve">Below is a list of the formulas in each tab.  You can copy these back into the tables if you accidentally delete or type over one.  </t>
  </si>
  <si>
    <t>Applications Received for Access</t>
  </si>
  <si>
    <t>Applications Received for Amendment</t>
  </si>
  <si>
    <t xml:space="preserve">Internal Review Application Details </t>
  </si>
  <si>
    <r>
      <t xml:space="preserve">Reasons for rejection or refusal - Sections 
</t>
    </r>
    <r>
      <rPr>
        <b/>
        <sz val="8"/>
        <color theme="0"/>
        <rFont val="Arial Nova"/>
        <family val="2"/>
      </rPr>
      <t>(all drop down selections)</t>
    </r>
  </si>
  <si>
    <t>Public Holiday</t>
  </si>
  <si>
    <t>End of FY</t>
  </si>
  <si>
    <t>Start of FY</t>
  </si>
  <si>
    <t>Fees and Charges Topic</t>
  </si>
  <si>
    <t>Access Topic</t>
  </si>
  <si>
    <t>FY Dates</t>
  </si>
  <si>
    <t xml:space="preserve">S20(1)(a)
</t>
  </si>
  <si>
    <t>20(1)(a)</t>
  </si>
  <si>
    <r>
      <rPr>
        <b/>
        <sz val="14"/>
        <color theme="0"/>
        <rFont val="Arial Nova"/>
        <family val="2"/>
      </rPr>
      <t xml:space="preserve">Exemption Clauses 
</t>
    </r>
    <r>
      <rPr>
        <b/>
        <sz val="8"/>
        <color theme="0"/>
        <rFont val="Arial Nova"/>
        <family val="2"/>
      </rPr>
      <t>(enter a "Y" in each clause applied - include all applied to each application)</t>
    </r>
  </si>
  <si>
    <t>&lt;start here&gt;</t>
  </si>
  <si>
    <r>
      <t xml:space="preserve">Extensions to due date </t>
    </r>
    <r>
      <rPr>
        <b/>
        <sz val="8"/>
        <color theme="0"/>
        <rFont val="Arial Nova"/>
        <family val="2"/>
      </rPr>
      <t>(if applicable)</t>
    </r>
  </si>
  <si>
    <r>
      <t xml:space="preserve">Advance Deposit
</t>
    </r>
    <r>
      <rPr>
        <sz val="8"/>
        <color rgb="FFFF8989"/>
        <rFont val="Arial Nova"/>
        <family val="2"/>
      </rPr>
      <t>(days clock stopped)</t>
    </r>
  </si>
  <si>
    <t>Current year?</t>
  </si>
  <si>
    <t>Current Year?</t>
  </si>
  <si>
    <t>ANZAC Day</t>
  </si>
  <si>
    <t>SA FOI Data Collation Spreadsheet</t>
  </si>
  <si>
    <t>Structure of the spreadsheet</t>
  </si>
  <si>
    <t>1)</t>
  </si>
  <si>
    <t>2)</t>
  </si>
  <si>
    <t>3)</t>
  </si>
  <si>
    <t>A few things to note before you get started:</t>
  </si>
  <si>
    <t>Agencies are only required to report valid applications.  Please do not enter invalid applications in this spreadsheet.</t>
  </si>
  <si>
    <r>
      <t xml:space="preserve">Fees and charges assessed
</t>
    </r>
    <r>
      <rPr>
        <sz val="8"/>
        <color theme="0"/>
        <rFont val="Arial Nova"/>
        <family val="2"/>
      </rPr>
      <t>(free text)</t>
    </r>
  </si>
  <si>
    <r>
      <t xml:space="preserve">Fees and charges collected
</t>
    </r>
    <r>
      <rPr>
        <sz val="8"/>
        <color theme="0"/>
        <rFont val="Arial Nova"/>
        <family val="2"/>
      </rPr>
      <t>(free text)</t>
    </r>
  </si>
  <si>
    <r>
      <t xml:space="preserve">Fees and charges collected
</t>
    </r>
    <r>
      <rPr>
        <b/>
        <sz val="8"/>
        <color theme="0"/>
        <rFont val="Arial Nova"/>
        <family val="2"/>
      </rPr>
      <t>(free text)</t>
    </r>
  </si>
  <si>
    <r>
      <t xml:space="preserve">Fees and charges assessed
</t>
    </r>
    <r>
      <rPr>
        <b/>
        <sz val="8"/>
        <color theme="0"/>
        <rFont val="Arial Nova"/>
        <family val="2"/>
      </rPr>
      <t>(free text)</t>
    </r>
  </si>
  <si>
    <r>
      <t xml:space="preserve">If fees were waived, select the reason for waiving.  If not, leave blank.
</t>
    </r>
    <r>
      <rPr>
        <sz val="8"/>
        <color rgb="FFFF8989"/>
        <rFont val="Arial Nova"/>
        <family val="2"/>
      </rPr>
      <t>(drop down)</t>
    </r>
  </si>
  <si>
    <t>Internal Review Topic</t>
  </si>
  <si>
    <t>Amendment Topic</t>
  </si>
  <si>
    <t xml:space="preserve">Amendment Application Details </t>
  </si>
  <si>
    <t>4)</t>
  </si>
  <si>
    <t>Fees waived - Concession card holder (qty)</t>
  </si>
  <si>
    <t>If your agency has any applications that are still active from the previous financial year, they will need to be recorded in this spreadsheet.  This enables you to report any outstanding activities in this year's annual report.</t>
  </si>
  <si>
    <t>This sheet contains a summary of all FOI activity conducted.  It uses formulas to consolidate information from the three data entry sheets.  It is a protected sheet and cannot be edited.</t>
  </si>
  <si>
    <t>This sheet contains the dates for Public Holidays and the different fees applicable to processing an FOI application.  It is a protected sheet and cannot be edited.</t>
  </si>
  <si>
    <t>Note: you can type into this field as long as the value is exactly the same as an option in the drop down menu.</t>
  </si>
  <si>
    <t>Formulas</t>
  </si>
  <si>
    <t>The figures calculated in the Report Summary are done in real-time.  This means agencies can rely on these figures for internal reporting throughout the financial year should you wish to do so.</t>
  </si>
  <si>
    <r>
      <t>At the end of the reporting year (30 June), all active applications (</t>
    </r>
    <r>
      <rPr>
        <sz val="11"/>
        <color indexed="17"/>
        <rFont val="Arial Nova"/>
        <family val="2"/>
      </rPr>
      <t>highlighted green</t>
    </r>
    <r>
      <rPr>
        <sz val="11"/>
        <color indexed="8"/>
        <rFont val="Arial Nova"/>
        <family val="2"/>
      </rPr>
      <t>) can be copied into the following years spreadsheet.  These spreadsheets will be published annually.</t>
    </r>
  </si>
  <si>
    <r>
      <t xml:space="preserve">You will also notice some of the table's columns are filled in </t>
    </r>
    <r>
      <rPr>
        <sz val="11"/>
        <color indexed="23"/>
        <rFont val="Arial Nova"/>
        <family val="2"/>
      </rPr>
      <t>grey</t>
    </r>
    <r>
      <rPr>
        <sz val="11"/>
        <color indexed="8"/>
        <rFont val="Arial Nova"/>
        <family val="2"/>
      </rPr>
      <t>.  This is 
because these contain formulas that are calculated based on one or 
more other cell values.</t>
    </r>
  </si>
  <si>
    <t>Overdue?</t>
  </si>
  <si>
    <t>If you need to remove an entry, right click the row on the far left and select "Delete".  However you must leave at least one row in the spreadsheet to ensure the formulas remain - to delete an entry in the first row, delete the information in each cell except those who store a formula.</t>
  </si>
  <si>
    <t>On 1 July, agency use of the previous financial year's spreadsheet must cease and begin using the new financial year's spreadsheet (published by State Records of SA annually).  This ensures a correct snapshot of the financial year is reported.</t>
  </si>
  <si>
    <t>This sheet is where all access application information can be recorded.</t>
  </si>
  <si>
    <t>This sheet is where all amendment application information can be recorded.</t>
  </si>
  <si>
    <t>This sheet is where all internal review application information can be recorded.</t>
  </si>
  <si>
    <t>This spreadsheet is broken up into 5 sections (sheets):</t>
  </si>
  <si>
    <r>
      <t xml:space="preserve">All columns with </t>
    </r>
    <r>
      <rPr>
        <b/>
        <sz val="11"/>
        <color indexed="60"/>
        <rFont val="Arial Nova"/>
        <family val="2"/>
      </rPr>
      <t>red</t>
    </r>
    <r>
      <rPr>
        <b/>
        <sz val="11"/>
        <color indexed="8"/>
        <rFont val="Arial Nova"/>
        <family val="2"/>
      </rPr>
      <t xml:space="preserve"> coloured text are mandatory.  </t>
    </r>
    <r>
      <rPr>
        <sz val="11"/>
        <color indexed="8"/>
        <rFont val="Arial Nova"/>
        <family val="2"/>
      </rPr>
      <t>These fields capture the bare minimum required to fulfil your agency's FOI application reporting requirements</t>
    </r>
    <r>
      <rPr>
        <b/>
        <sz val="11"/>
        <color theme="1"/>
        <rFont val="Arial Nova"/>
        <family val="2"/>
      </rPr>
      <t>.</t>
    </r>
  </si>
  <si>
    <r>
      <t xml:space="preserve">You will notice the line turns </t>
    </r>
    <r>
      <rPr>
        <sz val="11"/>
        <color indexed="17"/>
        <rFont val="Arial Nova"/>
        <family val="2"/>
      </rPr>
      <t>green</t>
    </r>
    <r>
      <rPr>
        <sz val="11"/>
        <color indexed="8"/>
        <rFont val="Arial Nova"/>
        <family val="2"/>
      </rPr>
      <t>, this indicates the entry is still active.  Entries remain active until an outcome/determine has been recorded</t>
    </r>
    <r>
      <rPr>
        <sz val="11"/>
        <color theme="1"/>
        <rFont val="Arial Nova"/>
        <family val="2"/>
      </rPr>
      <t>.</t>
    </r>
  </si>
  <si>
    <t>1. Select the cell,</t>
  </si>
  <si>
    <t>3. Make your selection.</t>
  </si>
  <si>
    <t>2. Press the down arrow to the right of the cell, and</t>
  </si>
  <si>
    <t xml:space="preserve">The Reporting Summary tab is where your agency's FOI activity is tallied.  It calculates each of the FOI application datasets that are required to be reported by agencies as per section 52 of the FOI Act and the Gazettal notice. </t>
  </si>
  <si>
    <t>The first thing to try when if you have typed over a formula is to use the
 "Restore to Calculated Column Formula" function.
To do this, select the cell in question and press the "caution" icon that
that will appear to the left of the cell.  A drop down will appear, here if you 
select the Restore to Calculated Column Formula option the formula 
will return.</t>
  </si>
  <si>
    <t>In the example to the right, the Due Date is calculated from the Date 
Received and any public holidays listed in the Public Holidays and Fees 
sheet.  In addition to this, if an extension has been applied a "New Due 
Date" is calculated from the "Due Date" by adding "Extention Period" and 
the number days the clock was stopped.</t>
  </si>
  <si>
    <t>Time taken to respond to Access Apps</t>
  </si>
  <si>
    <t>Unfinished status</t>
  </si>
  <si>
    <t>=IF([@[Determination/ Closed date]]&lt;=[@[Due Date
(automatically calculated)]], "within timeframe", IF([@[Determination/ Closed date]]&lt;=[@[New due date
(automatically calculated)]],"within extended timeframe", IF([@[Determination/ Closed date]]&gt;[@[New due date
(automatically calculated)]],"outside of timeframe")))</t>
  </si>
  <si>
    <t>Exempt - Schedule 2</t>
  </si>
  <si>
    <t>outside of timeframe (deemed refusal)</t>
  </si>
  <si>
    <t>Reporting Summary for 2022-23</t>
  </si>
  <si>
    <t>Public holidays, fees table and workflow dates (2022-23)</t>
  </si>
  <si>
    <t>Access Application Details</t>
  </si>
  <si>
    <t>Total Personal</t>
  </si>
  <si>
    <t>Total Non-personal</t>
  </si>
  <si>
    <t>Total Apps Received</t>
  </si>
  <si>
    <t>Unfinished Applications</t>
  </si>
  <si>
    <r>
      <t xml:space="preserve">The purpose of this spreadsheet is to assist agencies in capturing and summarising the FOI application activity to fulfil reporting obligations as per section 54 of the </t>
    </r>
    <r>
      <rPr>
        <i/>
        <sz val="11"/>
        <color indexed="8"/>
        <rFont val="Arial Nova"/>
        <family val="2"/>
      </rPr>
      <t>Freedom of Information Act 1991</t>
    </r>
    <r>
      <rPr>
        <sz val="11"/>
        <color indexed="8"/>
        <rFont val="Arial Nova"/>
        <family val="2"/>
      </rPr>
      <t>.</t>
    </r>
  </si>
  <si>
    <t>=IF([@[Date received
(free text)]]="","",(WORKDAY([@[Date received
(free text)]]+30-1,1,'Public Holidays and Fees'!$D$4:$B$47)))</t>
  </si>
  <si>
    <t>=IF([@[Date received
(free text)]]="","",(WORKDAY([@[Date received
(free text)]]+14-1,1,'Public Holidays and Fees'!$D$4:$B$47)))</t>
  </si>
  <si>
    <t>=IF([@[Date received]]="","",(WORKDAY([@[Date received]]+30-1,1,'Public Holidays and Fees'!$D$4:$D$47)))</t>
  </si>
  <si>
    <t>=IF([@[Date received]]="","",(WORKDAY([@[Due Date
(automatically calculated)]]+[@[Extension period (days)]]-1,1,'Public Holidays and Fees'!$D$4:$D$47)))</t>
  </si>
  <si>
    <t>Kings Birthday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</si>
</sst>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F800]dddd\,\ mmmm\ dd\,\ yyyy"/>
  </numFmts>
  <fonts count="61">
    <font>
      <sz val="11"/>
      <color theme="1"/>
      <name val="Calibri"/>
      <family val="2"/>
      <scheme val="minor"/>
    </font>
    <font>
      <sz val="12"/>
      <color theme="1"/>
      <name val="Arial Nova Light"/>
      <family val="2"/>
    </font>
    <font>
      <sz val="10"/>
      <color theme="1"/>
      <name val="Arial Nova Light"/>
      <family val="2"/>
    </font>
    <font>
      <sz val="11"/>
      <color theme="1"/>
      <name val="Calibri"/>
      <family val="2"/>
      <scheme val="minor"/>
    </font>
    <font>
      <b/>
      <sz val="12"/>
      <color theme="1"/>
      <name val="Arial Nova"/>
      <family val="2"/>
    </font>
    <font>
      <b/>
      <sz val="10"/>
      <color theme="1"/>
      <name val="Arial Nova"/>
      <family val="2"/>
    </font>
    <font>
      <sz val="14"/>
      <color theme="3"/>
      <name val="Arial Nova"/>
      <family val="2"/>
    </font>
    <font>
      <sz val="12"/>
      <color rgb="FFFF8989"/>
      <name val="Arial Nova"/>
      <family val="2"/>
    </font>
    <font>
      <sz val="12"/>
      <color theme="0" tint="-4.9989318521683403E-2"/>
      <name val="Arial Nova"/>
      <family val="2"/>
    </font>
    <font>
      <sz val="8"/>
      <name val="Calibri"/>
      <family val="2"/>
      <scheme val="minor"/>
    </font>
    <font>
      <sz val="8"/>
      <name val="Arial Nova Light"/>
      <family val="2"/>
    </font>
    <font>
      <sz val="8"/>
      <color rgb="FFFF8989"/>
      <name val="Arial Nova"/>
      <family val="2"/>
    </font>
    <font>
      <sz val="12"/>
      <color theme="1"/>
      <name val="Arial Nova"/>
      <family val="2"/>
    </font>
    <font>
      <b/>
      <sz val="8"/>
      <color theme="0"/>
      <name val="Arial Nova"/>
      <family val="2"/>
    </font>
    <font>
      <sz val="14"/>
      <color theme="1"/>
      <name val="Arial Nova"/>
      <family val="2"/>
    </font>
    <font>
      <sz val="11"/>
      <color theme="1"/>
      <name val="Arial Nova Light"/>
      <family val="2"/>
    </font>
    <font>
      <b/>
      <sz val="14"/>
      <color theme="0"/>
      <name val="Arial Nova"/>
      <family val="2"/>
    </font>
    <font>
      <sz val="12"/>
      <color theme="0"/>
      <name val="Arial Nova"/>
      <family val="2"/>
    </font>
    <font>
      <sz val="8"/>
      <color theme="0"/>
      <name val="Arial Nova"/>
      <family val="2"/>
    </font>
    <font>
      <sz val="10"/>
      <name val="Arial Nova Light"/>
      <family val="2"/>
    </font>
    <font>
      <sz val="14"/>
      <color theme="0"/>
      <name val="Arial Nova"/>
      <family val="2"/>
    </font>
    <font>
      <sz val="12"/>
      <color theme="0" tint="-0.249977111117893"/>
      <name val="Arial Nova"/>
      <family val="2"/>
    </font>
    <font>
      <sz val="8"/>
      <color theme="0" tint="-0.249977111117893"/>
      <name val="Arial Nova"/>
      <family val="2"/>
    </font>
    <font>
      <b/>
      <sz val="14"/>
      <color theme="0" tint="-4.9989318521683403E-2"/>
      <name val="Arial Nova"/>
      <family val="2"/>
    </font>
    <font>
      <sz val="10"/>
      <color theme="0"/>
      <name val="Arial Nova Light"/>
      <family val="2"/>
    </font>
    <font>
      <b/>
      <sz val="10"/>
      <name val="Arial Nova"/>
      <family val="2"/>
    </font>
    <font>
      <sz val="11"/>
      <color rgb="FFFF8989"/>
      <name val="Arial Nova"/>
      <family val="2"/>
    </font>
    <font>
      <b/>
      <sz val="11"/>
      <color theme="0"/>
      <name val="Arial Nova"/>
      <family val="2"/>
    </font>
    <font>
      <b/>
      <sz val="20"/>
      <color theme="0"/>
      <name val="Arial Nova"/>
      <family val="2"/>
    </font>
    <font>
      <sz val="16"/>
      <color theme="1"/>
      <name val="Arial Nova"/>
      <family val="2"/>
    </font>
    <font>
      <sz val="11"/>
      <color theme="1"/>
      <name val="Arial Nova"/>
      <family val="2"/>
    </font>
    <font>
      <b/>
      <sz val="16"/>
      <color theme="1"/>
      <name val="Arial Nova"/>
      <family val="2"/>
    </font>
    <font>
      <b/>
      <sz val="11"/>
      <color theme="1" tint="0.14999847407452621"/>
      <name val="Arial Nova"/>
      <family val="2"/>
    </font>
    <font>
      <b/>
      <sz val="11"/>
      <color theme="1"/>
      <name val="Arial Nova"/>
      <family val="2"/>
    </font>
    <font>
      <b/>
      <sz val="12"/>
      <color theme="0" tint="-0.249977111117893"/>
      <name val="Arial Nova"/>
      <family val="2"/>
    </font>
    <font>
      <b/>
      <sz val="8"/>
      <color theme="0" tint="-0.249977111117893"/>
      <name val="Arial Nova"/>
      <family val="2"/>
    </font>
    <font>
      <b/>
      <sz val="10"/>
      <color rgb="FF972929"/>
      <name val="Arial Nova"/>
      <family val="2"/>
    </font>
    <font>
      <sz val="10"/>
      <color rgb="FFFF8989"/>
      <name val="Arial Nova"/>
      <family val="2"/>
    </font>
    <font>
      <sz val="20"/>
      <color rgb="FFFF8989"/>
      <name val="Arial Nova"/>
      <family val="2"/>
    </font>
    <font>
      <b/>
      <sz val="12"/>
      <color rgb="FFFF8989"/>
      <name val="Arial Nova"/>
      <family val="2"/>
    </font>
    <font>
      <b/>
      <sz val="8"/>
      <color rgb="FFFF8989"/>
      <name val="Arial Nova"/>
      <family val="2"/>
    </font>
    <font>
      <b/>
      <sz val="12"/>
      <color theme="1"/>
      <name val="Arial Nova Light"/>
      <family val="2"/>
    </font>
    <font>
      <sz val="11"/>
      <name val="Arial Nova"/>
      <family val="2"/>
    </font>
    <font>
      <sz val="11"/>
      <color theme="0"/>
      <name val="Arial Nova"/>
      <family val="2"/>
    </font>
    <font>
      <b/>
      <sz val="12"/>
      <color theme="0"/>
      <name val="Arial Nova"/>
      <family val="2"/>
    </font>
    <font>
      <b/>
      <sz val="14"/>
      <color theme="1"/>
      <name val="Arial Nova"/>
      <family val="2"/>
    </font>
    <font>
      <sz val="11"/>
      <name val="Arial Nova Light"/>
      <family val="2"/>
    </font>
    <font>
      <sz val="11"/>
      <color theme="0"/>
      <name val="Arial Nova Light"/>
      <family val="2"/>
    </font>
    <font>
      <b/>
      <sz val="14"/>
      <name val="Arial Nova"/>
      <family val="2"/>
    </font>
    <font>
      <b/>
      <sz val="22"/>
      <color theme="0"/>
      <name val="Arial Nova"/>
      <family val="2"/>
    </font>
    <font>
      <b/>
      <sz val="10"/>
      <color theme="0" tint="-0.499984740745262"/>
      <name val="Arial Nova"/>
      <family val="2"/>
    </font>
    <font>
      <sz val="12"/>
      <color theme="0" tint="-0.14999847407452621"/>
      <name val="Arial Nova"/>
      <family val="2"/>
    </font>
    <font>
      <sz val="12"/>
      <color theme="0" tint="-0.34998626667073579"/>
      <name val="Arial Nova"/>
      <family val="2"/>
    </font>
    <font>
      <i/>
      <sz val="11"/>
      <color indexed="8"/>
      <name val="Arial Nova"/>
      <family val="2"/>
    </font>
    <font>
      <sz val="11"/>
      <color indexed="8"/>
      <name val="Arial Nova"/>
      <family val="2"/>
    </font>
    <font>
      <b/>
      <sz val="11"/>
      <color indexed="60"/>
      <name val="Arial Nova"/>
      <family val="2"/>
    </font>
    <font>
      <b/>
      <sz val="11"/>
      <color indexed="8"/>
      <name val="Arial Nova"/>
      <family val="2"/>
    </font>
    <font>
      <sz val="11"/>
      <color indexed="17"/>
      <name val="Arial Nova"/>
      <family val="2"/>
    </font>
    <font>
      <sz val="11"/>
      <color indexed="23"/>
      <name val="Arial Nova"/>
      <family val="2"/>
    </font>
    <font>
      <sz val="10"/>
      <color theme="0" tint="-0.14999847407452621"/>
      <name val="Arial Nova"/>
      <family val="2"/>
    </font>
    <font>
      <sz val="8"/>
      <color theme="0"/>
      <name val="Arial Nova Light"/>
      <family val="2"/>
    </font>
  </fonts>
  <fills count="20">
    <fill>
      <patternFill patternType="none"/>
    </fill>
    <fill>
      <patternFill patternType="gray125"/>
    </fill>
    <fill>
      <patternFill patternType="solid">
        <fgColor theme="3"/>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597D5D"/>
        <bgColor indexed="64"/>
      </patternFill>
    </fill>
    <fill>
      <patternFill patternType="solid">
        <fgColor rgb="FF4C6C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4B7479"/>
        <bgColor indexed="64"/>
      </patternFill>
    </fill>
    <fill>
      <patternFill patternType="solid">
        <fgColor theme="1" tint="0.249977111117893"/>
        <bgColor indexed="64"/>
      </patternFill>
    </fill>
    <fill>
      <patternFill patternType="solid">
        <fgColor rgb="FF724B79"/>
        <bgColor indexed="64"/>
      </patternFill>
    </fill>
    <fill>
      <patternFill patternType="solid">
        <fgColor rgb="FF64426A"/>
        <bgColor indexed="64"/>
      </patternFill>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tint="0.499984740745262"/>
        <bgColor indexed="64"/>
      </patternFill>
    </fill>
  </fills>
  <borders count="8">
    <border>
      <left/>
      <right/>
      <top/>
      <bottom/>
      <diagonal/>
    </border>
    <border>
      <left/>
      <right style="thick">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14999847407452621"/>
      </left>
      <right/>
      <top/>
      <bottom/>
      <diagonal/>
    </border>
    <border>
      <left style="thin">
        <color theme="0" tint="-0.14999847407452621"/>
      </left>
      <right style="thick">
        <color theme="0" tint="-0.249977111117893"/>
      </right>
      <top/>
      <bottom/>
      <diagonal/>
    </border>
    <border>
      <left/>
      <right style="thick">
        <color theme="0" tint="-0.14996795556505021"/>
      </right>
      <top/>
      <bottom/>
      <diagonal/>
    </border>
    <border>
      <left style="thin">
        <color theme="0" tint="-0.14999847407452621"/>
      </left>
      <right style="thin">
        <color theme="0" tint="-0.14996795556505021"/>
      </right>
      <top/>
      <bottom/>
      <diagonal/>
    </border>
    <border>
      <left style="thin">
        <color theme="0"/>
      </left>
      <right/>
      <top/>
      <bottom/>
      <diagonal/>
    </border>
  </borders>
  <cellStyleXfs count="2">
    <xf numFmtId="0" fontId="0" fillId="0" borderId="0"/>
    <xf numFmtId="44" fontId="3" fillId="0" borderId="0" applyFont="0" applyFill="0" applyBorder="0" applyAlignment="0" applyProtection="0"/>
  </cellStyleXfs>
  <cellXfs count="166">
    <xf numFmtId="0" fontId="0" fillId="0" borderId="0" xfId="0"/>
    <xf numFmtId="0" fontId="1" fillId="0" borderId="0" xfId="0" applyFont="1"/>
    <xf numFmtId="0" fontId="2" fillId="0" borderId="0" xfId="0" applyFont="1"/>
    <xf numFmtId="0" fontId="12" fillId="0" borderId="0" xfId="0" applyFont="1" applyAlignment="1">
      <alignment wrapText="1"/>
    </xf>
    <xf numFmtId="0" fontId="6" fillId="0" borderId="0" xfId="0" applyFont="1"/>
    <xf numFmtId="0" fontId="14" fillId="0" borderId="0" xfId="0" applyFont="1"/>
    <xf numFmtId="0" fontId="15" fillId="0" borderId="0" xfId="0" applyFont="1"/>
    <xf numFmtId="14" fontId="15" fillId="0" borderId="0" xfId="0" applyNumberFormat="1" applyFont="1"/>
    <xf numFmtId="0" fontId="16" fillId="2" borderId="0" xfId="0" applyFont="1" applyFill="1"/>
    <xf numFmtId="0" fontId="2" fillId="0" borderId="0" xfId="0" applyFont="1" applyBorder="1" applyAlignment="1" applyProtection="1">
      <alignment wrapText="1"/>
      <protection locked="0"/>
    </xf>
    <xf numFmtId="0" fontId="10" fillId="0" borderId="0" xfId="0" applyFont="1" applyBorder="1" applyAlignment="1" applyProtection="1">
      <protection locked="0"/>
    </xf>
    <xf numFmtId="0" fontId="1" fillId="0" borderId="0" xfId="0" applyFont="1" applyBorder="1" applyAlignment="1" applyProtection="1">
      <alignment wrapText="1"/>
      <protection locked="0"/>
    </xf>
    <xf numFmtId="0" fontId="7" fillId="2" borderId="0" xfId="0" applyFont="1" applyFill="1" applyBorder="1" applyAlignment="1" applyProtection="1">
      <alignment wrapText="1"/>
      <protection locked="0"/>
    </xf>
    <xf numFmtId="0" fontId="8" fillId="0" borderId="0" xfId="0" applyFont="1" applyBorder="1" applyAlignment="1" applyProtection="1">
      <alignment wrapText="1"/>
      <protection locked="0"/>
    </xf>
    <xf numFmtId="0" fontId="1" fillId="0" borderId="0" xfId="0" applyFont="1" applyFill="1" applyBorder="1" applyAlignment="1" applyProtection="1">
      <alignment wrapText="1"/>
      <protection locked="0"/>
    </xf>
    <xf numFmtId="0" fontId="6" fillId="0" borderId="0" xfId="0" applyFont="1" applyBorder="1" applyAlignment="1" applyProtection="1">
      <alignment wrapText="1"/>
      <protection locked="0"/>
    </xf>
    <xf numFmtId="0" fontId="19" fillId="0" borderId="0" xfId="0" applyFont="1" applyBorder="1" applyAlignment="1" applyProtection="1">
      <alignment wrapText="1"/>
      <protection locked="0"/>
    </xf>
    <xf numFmtId="0" fontId="10" fillId="0" borderId="3" xfId="0" applyFont="1" applyBorder="1" applyAlignment="1" applyProtection="1">
      <protection locked="0"/>
    </xf>
    <xf numFmtId="0" fontId="10" fillId="0" borderId="4" xfId="0" applyFont="1" applyBorder="1" applyAlignment="1" applyProtection="1">
      <protection locked="0"/>
    </xf>
    <xf numFmtId="0" fontId="19" fillId="0" borderId="0" xfId="0" applyFont="1" applyBorder="1" applyProtection="1">
      <protection locked="0"/>
    </xf>
    <xf numFmtId="0" fontId="21" fillId="4" borderId="0" xfId="0" applyFont="1" applyFill="1" applyBorder="1" applyAlignment="1" applyProtection="1">
      <alignment wrapText="1"/>
      <protection locked="0"/>
    </xf>
    <xf numFmtId="0" fontId="21" fillId="4" borderId="1" xfId="0" applyFont="1" applyFill="1" applyBorder="1" applyAlignment="1" applyProtection="1">
      <alignment wrapText="1"/>
      <protection locked="0"/>
    </xf>
    <xf numFmtId="14" fontId="24" fillId="3" borderId="1" xfId="0" applyNumberFormat="1" applyFont="1" applyFill="1" applyBorder="1" applyAlignment="1" applyProtection="1">
      <alignment wrapText="1"/>
    </xf>
    <xf numFmtId="0" fontId="24" fillId="3" borderId="0" xfId="0" applyFont="1" applyFill="1" applyBorder="1" applyAlignment="1" applyProtection="1">
      <alignment wrapText="1"/>
    </xf>
    <xf numFmtId="0" fontId="21" fillId="2" borderId="0" xfId="0" applyFont="1" applyFill="1" applyBorder="1" applyAlignment="1" applyProtection="1">
      <alignment wrapText="1"/>
      <protection locked="0"/>
    </xf>
    <xf numFmtId="0" fontId="29" fillId="0" borderId="0" xfId="0" applyFont="1" applyAlignment="1"/>
    <xf numFmtId="0" fontId="29" fillId="0" borderId="0" xfId="0" applyFont="1" applyAlignment="1">
      <alignment wrapText="1"/>
    </xf>
    <xf numFmtId="0" fontId="30" fillId="0" borderId="0" xfId="0" applyFont="1" applyAlignment="1"/>
    <xf numFmtId="0" fontId="30" fillId="0" borderId="0" xfId="0" applyFont="1" applyAlignment="1">
      <alignment wrapText="1"/>
    </xf>
    <xf numFmtId="0" fontId="30" fillId="5" borderId="0" xfId="0" applyFont="1" applyFill="1" applyAlignment="1">
      <alignment vertical="top"/>
    </xf>
    <xf numFmtId="0" fontId="30" fillId="5" borderId="0" xfId="0" applyFont="1" applyFill="1" applyAlignment="1">
      <alignment wrapText="1"/>
    </xf>
    <xf numFmtId="0" fontId="30" fillId="0" borderId="0" xfId="0" applyFont="1" applyAlignment="1">
      <alignment vertical="top"/>
    </xf>
    <xf numFmtId="0" fontId="31" fillId="0" borderId="0" xfId="0" applyFont="1" applyAlignment="1"/>
    <xf numFmtId="0" fontId="31" fillId="6" borderId="0" xfId="0" applyFont="1" applyFill="1" applyAlignment="1"/>
    <xf numFmtId="0" fontId="30" fillId="6" borderId="0" xfId="0" applyFont="1" applyFill="1" applyAlignment="1"/>
    <xf numFmtId="0" fontId="30" fillId="6" borderId="0" xfId="0" applyFont="1" applyFill="1" applyAlignment="1">
      <alignment wrapText="1"/>
    </xf>
    <xf numFmtId="0" fontId="4" fillId="6" borderId="0" xfId="0" applyFont="1" applyFill="1" applyAlignment="1"/>
    <xf numFmtId="0" fontId="1" fillId="0" borderId="0" xfId="0" applyFont="1" applyBorder="1" applyAlignment="1">
      <alignment horizontal="right" wrapText="1"/>
    </xf>
    <xf numFmtId="0" fontId="1" fillId="5" borderId="0" xfId="0" applyFont="1" applyFill="1" applyBorder="1" applyAlignment="1">
      <alignment horizontal="right" wrapText="1"/>
    </xf>
    <xf numFmtId="0" fontId="1" fillId="0" borderId="0" xfId="0" applyFont="1" applyBorder="1" applyAlignment="1">
      <alignment horizontal="right"/>
    </xf>
    <xf numFmtId="0" fontId="1" fillId="5" borderId="0" xfId="0" applyFont="1" applyFill="1" applyBorder="1" applyAlignment="1">
      <alignment horizontal="right"/>
    </xf>
    <xf numFmtId="0" fontId="1" fillId="0" borderId="0" xfId="0" applyFont="1" applyFill="1" applyBorder="1" applyAlignment="1">
      <alignment horizontal="right" wrapText="1"/>
    </xf>
    <xf numFmtId="0" fontId="2" fillId="0" borderId="0" xfId="0" applyFont="1" applyAlignment="1">
      <alignment horizontal="right"/>
    </xf>
    <xf numFmtId="0" fontId="15" fillId="0" borderId="0" xfId="0" applyFont="1" applyBorder="1" applyAlignment="1">
      <alignment horizontal="right"/>
    </xf>
    <xf numFmtId="0" fontId="5" fillId="0" borderId="0" xfId="0" applyFont="1" applyAlignment="1">
      <alignment horizontal="right"/>
    </xf>
    <xf numFmtId="44" fontId="15" fillId="0" borderId="0" xfId="1" applyFont="1" applyBorder="1" applyAlignment="1">
      <alignment horizontal="right"/>
    </xf>
    <xf numFmtId="0" fontId="15" fillId="5" borderId="0" xfId="0" applyFont="1" applyFill="1" applyBorder="1" applyAlignment="1">
      <alignment horizontal="right"/>
    </xf>
    <xf numFmtId="0" fontId="15" fillId="0" borderId="0" xfId="0" applyFont="1" applyFill="1" applyBorder="1" applyAlignment="1">
      <alignment horizontal="right"/>
    </xf>
    <xf numFmtId="0" fontId="1" fillId="0" borderId="0" xfId="0" applyFont="1" applyAlignment="1">
      <alignment horizontal="right"/>
    </xf>
    <xf numFmtId="0" fontId="1" fillId="5" borderId="0" xfId="0" applyFont="1" applyFill="1" applyAlignment="1">
      <alignment horizontal="right"/>
    </xf>
    <xf numFmtId="0" fontId="2" fillId="5" borderId="0" xfId="0" applyFont="1" applyFill="1" applyAlignment="1">
      <alignment horizontal="right"/>
    </xf>
    <xf numFmtId="165" fontId="25" fillId="0" borderId="0" xfId="0" applyNumberFormat="1" applyFont="1" applyFill="1" applyBorder="1" applyAlignment="1" applyProtection="1">
      <alignment horizontal="left" wrapText="1"/>
    </xf>
    <xf numFmtId="0" fontId="34" fillId="4" borderId="0" xfId="0" applyFont="1" applyFill="1" applyBorder="1" applyAlignment="1" applyProtection="1">
      <alignment wrapText="1"/>
      <protection locked="0"/>
    </xf>
    <xf numFmtId="14" fontId="36" fillId="0" borderId="0" xfId="0" applyNumberFormat="1" applyFont="1" applyBorder="1" applyAlignment="1" applyProtection="1">
      <alignment wrapText="1"/>
      <protection locked="0"/>
    </xf>
    <xf numFmtId="0" fontId="36" fillId="0" borderId="0" xfId="0" applyFont="1" applyBorder="1" applyAlignment="1" applyProtection="1">
      <alignment wrapText="1"/>
      <protection locked="0"/>
    </xf>
    <xf numFmtId="0" fontId="36" fillId="0" borderId="0" xfId="0" applyFont="1" applyBorder="1" applyAlignment="1" applyProtection="1">
      <alignment horizontal="left" wrapText="1"/>
      <protection locked="0"/>
    </xf>
    <xf numFmtId="0" fontId="7" fillId="4" borderId="0" xfId="0" applyFont="1" applyFill="1" applyBorder="1" applyAlignment="1" applyProtection="1">
      <alignment wrapText="1"/>
      <protection locked="0"/>
    </xf>
    <xf numFmtId="0" fontId="36" fillId="0" borderId="0" xfId="0" applyFont="1" applyFill="1" applyBorder="1" applyAlignment="1" applyProtection="1">
      <alignment wrapText="1"/>
      <protection locked="0"/>
    </xf>
    <xf numFmtId="164" fontId="36" fillId="0" borderId="0" xfId="0" applyNumberFormat="1" applyFont="1" applyFill="1" applyBorder="1" applyAlignment="1" applyProtection="1">
      <alignment wrapText="1"/>
      <protection locked="0"/>
    </xf>
    <xf numFmtId="0" fontId="10" fillId="0" borderId="5" xfId="0" applyFont="1" applyFill="1" applyBorder="1" applyAlignment="1" applyProtection="1">
      <protection locked="0"/>
    </xf>
    <xf numFmtId="0" fontId="10" fillId="0" borderId="6" xfId="0" applyFont="1" applyBorder="1" applyAlignment="1" applyProtection="1">
      <protection locked="0"/>
    </xf>
    <xf numFmtId="0" fontId="37" fillId="2" borderId="0" xfId="0" applyFont="1" applyFill="1" applyBorder="1" applyAlignment="1" applyProtection="1">
      <alignment horizontal="left" wrapText="1"/>
      <protection locked="0"/>
    </xf>
    <xf numFmtId="0" fontId="37" fillId="2" borderId="2" xfId="0" applyFont="1" applyFill="1" applyBorder="1" applyAlignment="1" applyProtection="1">
      <alignment horizontal="left" wrapText="1"/>
      <protection locked="0"/>
    </xf>
    <xf numFmtId="0" fontId="37" fillId="2" borderId="1" xfId="0" applyFont="1" applyFill="1" applyBorder="1" applyAlignment="1" applyProtection="1">
      <alignment horizontal="left" wrapText="1"/>
      <protection locked="0"/>
    </xf>
    <xf numFmtId="0" fontId="38" fillId="4" borderId="0" xfId="0" applyFont="1" applyFill="1" applyBorder="1" applyAlignment="1" applyProtection="1">
      <alignment horizontal="center" vertical="center" wrapText="1"/>
      <protection locked="0"/>
    </xf>
    <xf numFmtId="0" fontId="38" fillId="4" borderId="2" xfId="0" applyFont="1" applyFill="1" applyBorder="1" applyAlignment="1" applyProtection="1">
      <alignment horizontal="center" vertical="center" wrapText="1"/>
      <protection locked="0"/>
    </xf>
    <xf numFmtId="0" fontId="38" fillId="4" borderId="1" xfId="0" applyFont="1" applyFill="1" applyBorder="1" applyAlignment="1" applyProtection="1">
      <alignment horizontal="center" vertical="center" wrapText="1"/>
      <protection locked="0"/>
    </xf>
    <xf numFmtId="0" fontId="8" fillId="4" borderId="0" xfId="0" applyFont="1" applyFill="1" applyBorder="1" applyAlignment="1" applyProtection="1">
      <alignment wrapText="1"/>
      <protection locked="0"/>
    </xf>
    <xf numFmtId="165" fontId="25" fillId="0" borderId="0" xfId="0" applyNumberFormat="1" applyFont="1" applyFill="1" applyBorder="1" applyAlignment="1">
      <alignment horizontal="left" wrapText="1"/>
    </xf>
    <xf numFmtId="0" fontId="17" fillId="7" borderId="0" xfId="0" applyFont="1" applyFill="1" applyBorder="1" applyAlignment="1">
      <alignment wrapText="1"/>
    </xf>
    <xf numFmtId="0" fontId="7" fillId="7" borderId="0" xfId="0" applyFont="1" applyFill="1" applyBorder="1" applyAlignment="1">
      <alignment wrapText="1"/>
    </xf>
    <xf numFmtId="0" fontId="33" fillId="0" borderId="0" xfId="0" applyFont="1" applyAlignment="1">
      <alignment horizontal="right" vertical="center"/>
    </xf>
    <xf numFmtId="0" fontId="41" fillId="0" borderId="0" xfId="0" applyFont="1"/>
    <xf numFmtId="0" fontId="41" fillId="0" borderId="0" xfId="0" applyFont="1" applyAlignment="1">
      <alignment horizontal="left"/>
    </xf>
    <xf numFmtId="0" fontId="4" fillId="0" borderId="0" xfId="0" applyFont="1" applyBorder="1" applyAlignment="1" applyProtection="1">
      <alignment wrapText="1"/>
      <protection locked="0"/>
    </xf>
    <xf numFmtId="0" fontId="30" fillId="6" borderId="0" xfId="0" applyFont="1" applyFill="1" applyAlignment="1">
      <alignment vertical="top" wrapText="1"/>
    </xf>
    <xf numFmtId="0" fontId="30" fillId="2" borderId="0" xfId="0" applyFont="1" applyFill="1" applyAlignment="1"/>
    <xf numFmtId="0" fontId="31" fillId="0" borderId="0" xfId="0" applyFont="1" applyFill="1" applyAlignment="1"/>
    <xf numFmtId="0" fontId="43" fillId="2" borderId="0" xfId="0" applyFont="1" applyFill="1" applyAlignment="1"/>
    <xf numFmtId="0" fontId="43" fillId="7" borderId="0" xfId="0" applyFont="1" applyFill="1" applyAlignment="1"/>
    <xf numFmtId="0" fontId="43" fillId="11" borderId="0" xfId="0" applyFont="1" applyFill="1" applyAlignment="1"/>
    <xf numFmtId="0" fontId="42" fillId="9" borderId="0" xfId="0" applyFont="1" applyFill="1" applyAlignment="1"/>
    <xf numFmtId="0" fontId="30" fillId="6" borderId="0" xfId="0" applyFont="1" applyFill="1" applyAlignment="1">
      <alignment vertical="top"/>
    </xf>
    <xf numFmtId="0" fontId="33" fillId="6" borderId="0" xfId="0" applyFont="1" applyFill="1" applyAlignment="1">
      <alignment vertical="top"/>
    </xf>
    <xf numFmtId="0" fontId="39" fillId="4" borderId="0" xfId="0" applyFont="1" applyFill="1" applyBorder="1" applyAlignment="1" applyProtection="1">
      <alignment wrapText="1"/>
      <protection locked="0"/>
    </xf>
    <xf numFmtId="0" fontId="41" fillId="0" borderId="0" xfId="0" applyFont="1" applyBorder="1" applyAlignment="1" applyProtection="1">
      <alignment wrapText="1"/>
      <protection locked="0"/>
    </xf>
    <xf numFmtId="0" fontId="39" fillId="7" borderId="0" xfId="0" applyFont="1" applyFill="1" applyBorder="1" applyAlignment="1">
      <alignment wrapText="1"/>
    </xf>
    <xf numFmtId="0" fontId="16" fillId="2" borderId="0" xfId="0" applyFont="1" applyFill="1" applyAlignment="1">
      <alignment horizontal="right"/>
    </xf>
    <xf numFmtId="0" fontId="46" fillId="0" borderId="0" xfId="0" applyFont="1"/>
    <xf numFmtId="14" fontId="46" fillId="0" borderId="0" xfId="0" applyNumberFormat="1" applyFont="1"/>
    <xf numFmtId="0" fontId="16" fillId="2" borderId="0" xfId="0" applyFont="1" applyFill="1" applyBorder="1" applyAlignment="1">
      <alignment horizontal="right" vertical="center"/>
    </xf>
    <xf numFmtId="0" fontId="16" fillId="2" borderId="7" xfId="0" applyFont="1" applyFill="1" applyBorder="1" applyAlignment="1">
      <alignment horizontal="right" vertical="center"/>
    </xf>
    <xf numFmtId="0" fontId="45" fillId="0" borderId="0" xfId="0" applyFont="1" applyAlignment="1">
      <alignment horizontal="right" vertical="center"/>
    </xf>
    <xf numFmtId="0" fontId="16" fillId="7" borderId="0" xfId="0" applyFont="1" applyFill="1" applyBorder="1" applyAlignment="1">
      <alignment horizontal="right" vertical="center"/>
    </xf>
    <xf numFmtId="0" fontId="16" fillId="7" borderId="7" xfId="0" applyFont="1" applyFill="1" applyBorder="1" applyAlignment="1">
      <alignment horizontal="right" vertical="center"/>
    </xf>
    <xf numFmtId="0" fontId="36" fillId="0" borderId="0" xfId="0" applyFont="1" applyBorder="1" applyProtection="1">
      <protection locked="0"/>
    </xf>
    <xf numFmtId="14" fontId="36" fillId="0" borderId="0" xfId="0" applyNumberFormat="1" applyFont="1" applyBorder="1" applyProtection="1">
      <protection locked="0"/>
    </xf>
    <xf numFmtId="0" fontId="2" fillId="12" borderId="0" xfId="0" applyFont="1" applyFill="1" applyAlignment="1">
      <alignment horizontal="right"/>
    </xf>
    <xf numFmtId="0" fontId="49" fillId="12" borderId="0" xfId="0" applyFont="1" applyFill="1" applyBorder="1" applyAlignment="1">
      <alignment horizontal="left"/>
    </xf>
    <xf numFmtId="0" fontId="47" fillId="12" borderId="0" xfId="0" applyFont="1" applyFill="1" applyBorder="1" applyAlignment="1">
      <alignment horizontal="right"/>
    </xf>
    <xf numFmtId="0" fontId="24" fillId="12" borderId="0" xfId="0" applyFont="1" applyFill="1" applyAlignment="1">
      <alignment horizontal="right"/>
    </xf>
    <xf numFmtId="0" fontId="47" fillId="12" borderId="0" xfId="0" applyFont="1" applyFill="1"/>
    <xf numFmtId="0" fontId="49" fillId="12" borderId="0" xfId="0" applyFont="1" applyFill="1"/>
    <xf numFmtId="0" fontId="7" fillId="4" borderId="0" xfId="0" applyFont="1" applyFill="1" applyBorder="1" applyAlignment="1" applyProtection="1">
      <alignment horizontal="left" wrapText="1"/>
      <protection locked="0"/>
    </xf>
    <xf numFmtId="14" fontId="36" fillId="0" borderId="0" xfId="0" applyNumberFormat="1"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14" fontId="50" fillId="0" borderId="0" xfId="0" applyNumberFormat="1" applyFont="1" applyBorder="1" applyAlignment="1" applyProtection="1">
      <alignment horizontal="left" wrapText="1"/>
      <protection locked="0"/>
    </xf>
    <xf numFmtId="0" fontId="7" fillId="7" borderId="0" xfId="0" applyFont="1" applyFill="1" applyBorder="1" applyAlignment="1">
      <alignment horizontal="left" wrapText="1"/>
    </xf>
    <xf numFmtId="14" fontId="36" fillId="0" borderId="0" xfId="0" applyNumberFormat="1" applyFont="1" applyBorder="1" applyAlignment="1" applyProtection="1">
      <alignment horizontal="left"/>
      <protection locked="0"/>
    </xf>
    <xf numFmtId="0" fontId="1" fillId="0" borderId="0" xfId="0" applyFont="1" applyAlignment="1">
      <alignment horizontal="left"/>
    </xf>
    <xf numFmtId="0" fontId="30" fillId="6" borderId="0" xfId="0" applyFont="1" applyFill="1" applyAlignment="1">
      <alignment horizontal="right" vertical="top" wrapText="1"/>
    </xf>
    <xf numFmtId="0" fontId="17" fillId="2" borderId="0" xfId="0" applyFont="1" applyFill="1" applyBorder="1" applyAlignment="1" applyProtection="1">
      <alignment wrapText="1"/>
      <protection locked="0"/>
    </xf>
    <xf numFmtId="0" fontId="39" fillId="13" borderId="0" xfId="0" applyFont="1" applyFill="1" applyBorder="1" applyAlignment="1">
      <alignment wrapText="1"/>
    </xf>
    <xf numFmtId="0" fontId="7" fillId="13" borderId="0" xfId="0" applyFont="1" applyFill="1" applyBorder="1" applyAlignment="1">
      <alignment horizontal="left" wrapText="1"/>
    </xf>
    <xf numFmtId="0" fontId="51" fillId="13" borderId="0" xfId="0" applyFont="1" applyFill="1" applyBorder="1" applyAlignment="1">
      <alignment wrapText="1"/>
    </xf>
    <xf numFmtId="0" fontId="17" fillId="13" borderId="0" xfId="0" applyFont="1" applyFill="1" applyBorder="1" applyAlignment="1">
      <alignment wrapText="1"/>
    </xf>
    <xf numFmtId="0" fontId="34" fillId="14" borderId="0" xfId="0" applyFont="1" applyFill="1" applyBorder="1" applyAlignment="1">
      <alignment horizontal="left" wrapText="1"/>
    </xf>
    <xf numFmtId="0" fontId="7" fillId="14" borderId="0" xfId="0" applyFont="1" applyFill="1" applyBorder="1" applyAlignment="1">
      <alignment wrapText="1"/>
    </xf>
    <xf numFmtId="0" fontId="44" fillId="14" borderId="0" xfId="0" applyFont="1" applyFill="1" applyBorder="1" applyAlignment="1">
      <alignment horizontal="left" wrapText="1"/>
    </xf>
    <xf numFmtId="0" fontId="7" fillId="13" borderId="0" xfId="0" applyFont="1" applyFill="1" applyBorder="1" applyAlignment="1">
      <alignment wrapText="1"/>
    </xf>
    <xf numFmtId="0" fontId="23" fillId="7" borderId="0" xfId="0" applyFont="1" applyFill="1" applyBorder="1" applyAlignment="1">
      <alignment vertical="center"/>
    </xf>
    <xf numFmtId="0" fontId="52" fillId="7" borderId="0" xfId="0" applyFont="1" applyFill="1" applyBorder="1" applyAlignment="1">
      <alignment wrapText="1"/>
    </xf>
    <xf numFmtId="0" fontId="30" fillId="6" borderId="0" xfId="0" applyFont="1" applyFill="1" applyAlignment="1">
      <alignment horizontal="left"/>
    </xf>
    <xf numFmtId="0" fontId="30" fillId="6" borderId="0" xfId="0" applyFont="1" applyFill="1" applyAlignment="1">
      <alignment horizontal="left" vertical="top" wrapText="1"/>
    </xf>
    <xf numFmtId="0" fontId="30" fillId="6" borderId="0" xfId="0" applyFont="1" applyFill="1" applyAlignment="1">
      <alignment horizontal="left" wrapText="1"/>
    </xf>
    <xf numFmtId="0" fontId="30" fillId="0" borderId="0" xfId="0" applyFont="1" applyAlignment="1">
      <alignment horizontal="left" wrapText="1"/>
    </xf>
    <xf numFmtId="0" fontId="23" fillId="8" borderId="0" xfId="0" applyFont="1" applyFill="1" applyBorder="1" applyAlignment="1">
      <alignment horizontal="left" vertical="center"/>
    </xf>
    <xf numFmtId="0" fontId="34" fillId="8" borderId="0" xfId="0" applyFont="1" applyFill="1" applyBorder="1" applyAlignment="1">
      <alignment horizontal="left" wrapText="1"/>
    </xf>
    <xf numFmtId="164" fontId="25" fillId="0" borderId="0" xfId="1" applyNumberFormat="1" applyFont="1" applyFill="1" applyBorder="1" applyAlignment="1">
      <alignment horizontal="right" wrapText="1"/>
    </xf>
    <xf numFmtId="164" fontId="36" fillId="0" borderId="0" xfId="1" applyNumberFormat="1" applyFont="1" applyBorder="1" applyAlignment="1" applyProtection="1">
      <alignment horizontal="right"/>
      <protection locked="0"/>
    </xf>
    <xf numFmtId="0" fontId="41" fillId="0" borderId="0" xfId="0" applyFont="1" applyAlignment="1">
      <alignment horizontal="right"/>
    </xf>
    <xf numFmtId="44" fontId="15" fillId="5" borderId="0" xfId="1" applyFont="1" applyFill="1" applyBorder="1" applyAlignment="1">
      <alignment horizontal="right"/>
    </xf>
    <xf numFmtId="0" fontId="30" fillId="15" borderId="0" xfId="0" applyFont="1" applyFill="1" applyAlignment="1">
      <alignment vertical="top"/>
    </xf>
    <xf numFmtId="0" fontId="16" fillId="4" borderId="0" xfId="0" applyFont="1" applyFill="1" applyBorder="1" applyAlignment="1" applyProtection="1">
      <alignment horizontal="left" vertical="center" wrapText="1"/>
      <protection locked="0"/>
    </xf>
    <xf numFmtId="14" fontId="24" fillId="3" borderId="0" xfId="0" applyNumberFormat="1" applyFont="1" applyFill="1" applyBorder="1" applyAlignment="1" applyProtection="1">
      <alignment wrapText="1"/>
    </xf>
    <xf numFmtId="0" fontId="44" fillId="16" borderId="0" xfId="0" applyFont="1" applyFill="1" applyBorder="1" applyAlignment="1">
      <alignment horizontal="right"/>
    </xf>
    <xf numFmtId="0" fontId="27" fillId="16" borderId="0" xfId="0" applyFont="1" applyFill="1" applyBorder="1" applyAlignment="1">
      <alignment horizontal="right"/>
    </xf>
    <xf numFmtId="0" fontId="4" fillId="17" borderId="0" xfId="0" applyFont="1" applyFill="1" applyBorder="1" applyAlignment="1">
      <alignment horizontal="right"/>
    </xf>
    <xf numFmtId="0" fontId="33" fillId="17" borderId="0" xfId="0" applyFont="1" applyFill="1" applyBorder="1" applyAlignment="1">
      <alignment horizontal="right"/>
    </xf>
    <xf numFmtId="0" fontId="4" fillId="18" borderId="0" xfId="0" applyFont="1" applyFill="1" applyBorder="1" applyAlignment="1">
      <alignment horizontal="right"/>
    </xf>
    <xf numFmtId="0" fontId="33" fillId="18" borderId="0" xfId="0" applyFont="1" applyFill="1" applyBorder="1" applyAlignment="1">
      <alignment horizontal="right"/>
    </xf>
    <xf numFmtId="0" fontId="59" fillId="2" borderId="2" xfId="0" applyFont="1" applyFill="1" applyBorder="1" applyAlignment="1" applyProtection="1">
      <alignment horizontal="left" wrapText="1"/>
      <protection locked="0"/>
    </xf>
    <xf numFmtId="0" fontId="60" fillId="19" borderId="3" xfId="0" applyFont="1" applyFill="1" applyBorder="1" applyAlignment="1" applyProtection="1">
      <protection locked="0"/>
    </xf>
    <xf numFmtId="0" fontId="28" fillId="2" borderId="0" xfId="0" applyFont="1" applyFill="1" applyAlignment="1">
      <alignment horizontal="left" vertical="center"/>
    </xf>
    <xf numFmtId="0" fontId="30" fillId="6" borderId="0" xfId="0" applyFont="1" applyFill="1" applyAlignment="1">
      <alignment horizontal="left" vertical="top" wrapText="1"/>
    </xf>
    <xf numFmtId="0" fontId="30" fillId="6" borderId="0" xfId="0" applyFont="1" applyFill="1" applyAlignment="1">
      <alignment horizontal="left" wrapText="1"/>
    </xf>
    <xf numFmtId="0" fontId="33" fillId="6" borderId="0" xfId="0" applyFont="1" applyFill="1" applyAlignment="1">
      <alignment horizontal="left" vertical="top" wrapText="1"/>
    </xf>
    <xf numFmtId="0" fontId="30" fillId="0" borderId="0" xfId="0" applyFont="1" applyAlignment="1">
      <alignment horizontal="left" wrapText="1"/>
    </xf>
    <xf numFmtId="49" fontId="30" fillId="5" borderId="0" xfId="0" applyNumberFormat="1" applyFont="1" applyFill="1" applyAlignment="1">
      <alignment horizontal="left" vertical="top" wrapText="1"/>
    </xf>
    <xf numFmtId="0" fontId="30" fillId="6" borderId="0" xfId="0" applyFont="1" applyFill="1" applyAlignment="1">
      <alignment horizontal="left"/>
    </xf>
    <xf numFmtId="49" fontId="30" fillId="15" borderId="0" xfId="0" applyNumberFormat="1" applyFont="1" applyFill="1" applyAlignment="1">
      <alignment horizontal="left" vertical="top" wrapText="1"/>
    </xf>
    <xf numFmtId="0" fontId="30" fillId="0" borderId="0" xfId="0" applyFont="1" applyAlignment="1">
      <alignment horizontal="left"/>
    </xf>
    <xf numFmtId="0" fontId="30" fillId="0" borderId="0" xfId="0" applyFont="1" applyAlignment="1">
      <alignment horizontal="left" vertical="top" wrapText="1"/>
    </xf>
    <xf numFmtId="0" fontId="16" fillId="4" borderId="0" xfId="0" applyFont="1" applyFill="1" applyBorder="1" applyAlignment="1" applyProtection="1">
      <alignment horizontal="left" vertical="center" wrapText="1"/>
      <protection locked="0"/>
    </xf>
    <xf numFmtId="0" fontId="20" fillId="4" borderId="0"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23" fillId="8" borderId="0" xfId="0" applyFont="1" applyFill="1" applyBorder="1" applyAlignment="1">
      <alignment horizontal="left" vertical="center"/>
    </xf>
    <xf numFmtId="0" fontId="23" fillId="7" borderId="0" xfId="0" applyFont="1" applyFill="1" applyBorder="1" applyAlignment="1">
      <alignment horizontal="left" vertical="center"/>
    </xf>
    <xf numFmtId="0" fontId="16" fillId="14" borderId="0" xfId="0" applyFont="1" applyFill="1" applyBorder="1" applyAlignment="1">
      <alignment horizontal="left" vertical="center"/>
    </xf>
    <xf numFmtId="0" fontId="16" fillId="13" borderId="0" xfId="0" applyFont="1" applyFill="1" applyBorder="1" applyAlignment="1">
      <alignment horizontal="left" vertical="center"/>
    </xf>
    <xf numFmtId="0" fontId="16" fillId="13" borderId="0" xfId="0" applyFont="1" applyFill="1" applyBorder="1" applyAlignment="1">
      <alignment horizontal="right" vertical="center"/>
    </xf>
    <xf numFmtId="0" fontId="32" fillId="10" borderId="0" xfId="0" applyFont="1" applyFill="1" applyBorder="1" applyAlignment="1">
      <alignment horizontal="right"/>
    </xf>
    <xf numFmtId="0" fontId="48" fillId="9" borderId="0" xfId="0" applyFont="1" applyFill="1" applyBorder="1" applyAlignment="1">
      <alignment horizontal="right" vertical="center"/>
    </xf>
    <xf numFmtId="0" fontId="27" fillId="4" borderId="0" xfId="0" applyFont="1" applyFill="1" applyBorder="1" applyAlignment="1">
      <alignment horizontal="right"/>
    </xf>
    <xf numFmtId="0" fontId="27" fillId="8" borderId="0" xfId="0" applyFont="1" applyFill="1" applyBorder="1" applyAlignment="1">
      <alignment horizontal="right"/>
    </xf>
    <xf numFmtId="0" fontId="27" fillId="14" borderId="0" xfId="0" applyFont="1" applyFill="1" applyBorder="1" applyAlignment="1">
      <alignment horizontal="right"/>
    </xf>
  </cellXfs>
  <cellStyles count="2">
    <cellStyle name="Currency" xfId="1" builtinId="4"/>
    <cellStyle name="Normal" xfId="0" builtinId="0"/>
  </cellStyles>
  <dxfs count="78">
    <dxf>
      <font>
        <b/>
        <i val="0"/>
        <strike val="0"/>
        <condense val="0"/>
        <extend val="0"/>
        <outline val="0"/>
        <shadow val="0"/>
        <u val="none"/>
        <vertAlign val="baseline"/>
        <sz val="10"/>
        <color auto="1"/>
        <name val="Arial Nova"/>
        <scheme val="none"/>
      </font>
      <numFmt numFmtId="164" formatCode="&quot;$&quot;#,##0.00"/>
      <fill>
        <patternFill patternType="none">
          <fgColor indexed="64"/>
          <bgColor indexed="65"/>
        </patternFill>
      </fill>
      <alignment horizontal="right" vertical="bottom" textRotation="0" wrapText="1" indent="0" justifyLastLine="0" shrinkToFit="0" readingOrder="0"/>
      <protection locked="0" hidden="0"/>
    </dxf>
    <dxf>
      <font>
        <b/>
        <i val="0"/>
        <strike val="0"/>
        <condense val="0"/>
        <extend val="0"/>
        <outline val="0"/>
        <shadow val="0"/>
        <u val="none"/>
        <vertAlign val="baseline"/>
        <sz val="10"/>
        <color rgb="FF972929"/>
        <name val="Arial Nova"/>
        <scheme val="none"/>
      </font>
      <numFmt numFmtId="164" formatCode="&quot;$&quot;#,##0.00"/>
      <alignment horizontal="right" textRotation="0" indent="0" justifyLastLine="0" shrinkToFit="0" readingOrder="0"/>
      <protection locked="0" hidden="0"/>
    </dxf>
    <dxf>
      <font>
        <b/>
        <i val="0"/>
        <strike val="0"/>
        <condense val="0"/>
        <extend val="0"/>
        <outline val="0"/>
        <shadow val="0"/>
        <u val="none"/>
        <vertAlign val="baseline"/>
        <sz val="10"/>
        <color rgb="FF972929"/>
        <name val="Arial Nova"/>
        <scheme val="none"/>
      </font>
      <protection locked="0" hidden="0"/>
    </dxf>
    <dxf>
      <font>
        <b/>
        <i val="0"/>
        <strike val="0"/>
        <condense val="0"/>
        <extend val="0"/>
        <outline val="0"/>
        <shadow val="0"/>
        <u val="none"/>
        <vertAlign val="baseline"/>
        <sz val="10"/>
        <color rgb="FF972929"/>
        <name val="Arial Nova"/>
        <scheme val="none"/>
      </font>
      <protection locked="0" hidden="0"/>
    </dxf>
    <dxf>
      <font>
        <b/>
        <i val="0"/>
        <strike val="0"/>
        <condense val="0"/>
        <extend val="0"/>
        <outline val="0"/>
        <shadow val="0"/>
        <u val="none"/>
        <vertAlign val="baseline"/>
        <sz val="10"/>
        <color auto="1"/>
        <name val="Arial Nova"/>
        <scheme val="none"/>
      </font>
      <numFmt numFmtId="165" formatCode="[$-F800]dddd\,\ mmmm\ dd\,\ yyyy"/>
      <fill>
        <patternFill patternType="none">
          <fgColor indexed="64"/>
          <bgColor auto="1"/>
        </patternFill>
      </fill>
      <alignment horizontal="left" textRotation="0" indent="0" justifyLastLine="0" shrinkToFit="0" readingOrder="0"/>
    </dxf>
    <dxf>
      <font>
        <b/>
        <i val="0"/>
        <strike val="0"/>
        <condense val="0"/>
        <extend val="0"/>
        <outline val="0"/>
        <shadow val="0"/>
        <u val="none"/>
        <vertAlign val="baseline"/>
        <sz val="10"/>
        <color rgb="FF972929"/>
        <name val="Arial Nova"/>
        <scheme val="none"/>
      </font>
      <numFmt numFmtId="19" formatCode="d/mm/yyyy"/>
      <protection locked="0" hidden="0"/>
    </dxf>
    <dxf>
      <font>
        <b val="0"/>
        <i val="0"/>
        <strike val="0"/>
        <condense val="0"/>
        <extend val="0"/>
        <outline val="0"/>
        <shadow val="0"/>
        <u val="none"/>
        <vertAlign val="baseline"/>
        <sz val="10"/>
        <color auto="1"/>
        <name val="Arial Nova Light"/>
        <scheme val="none"/>
      </font>
      <protection locked="0" hidden="0"/>
    </dxf>
    <dxf>
      <font>
        <b val="0"/>
        <i val="0"/>
        <strike val="0"/>
        <condense val="0"/>
        <extend val="0"/>
        <outline val="0"/>
        <shadow val="0"/>
        <u val="none"/>
        <vertAlign val="baseline"/>
        <sz val="10"/>
        <color auto="1"/>
        <name val="Arial Nova Light"/>
        <scheme val="none"/>
      </font>
      <protection locked="0" hidden="0"/>
    </dxf>
    <dxf>
      <font>
        <b/>
        <i val="0"/>
        <strike val="0"/>
        <condense val="0"/>
        <extend val="0"/>
        <outline val="0"/>
        <shadow val="0"/>
        <u val="none"/>
        <vertAlign val="baseline"/>
        <sz val="10"/>
        <color rgb="FF972929"/>
        <name val="Arial Nova"/>
        <scheme val="none"/>
      </font>
      <numFmt numFmtId="19" formatCode="d/mm/yyyy"/>
      <alignment horizontal="left" textRotation="0" indent="0" justifyLastLine="0" shrinkToFit="0" readingOrder="0"/>
      <protection locked="0" hidden="0"/>
    </dxf>
    <dxf>
      <font>
        <b/>
        <i val="0"/>
        <strike val="0"/>
        <condense val="0"/>
        <extend val="0"/>
        <outline val="0"/>
        <shadow val="0"/>
        <u val="none"/>
        <vertAlign val="baseline"/>
        <sz val="10"/>
        <color rgb="FF972929"/>
        <name val="Arial Nova"/>
        <scheme val="none"/>
      </font>
      <protection locked="0" hidden="0"/>
    </dxf>
    <dxf>
      <font>
        <b val="0"/>
        <i val="0"/>
        <strike val="0"/>
        <condense val="0"/>
        <extend val="0"/>
        <outline val="0"/>
        <shadow val="0"/>
        <u val="none"/>
        <vertAlign val="baseline"/>
        <sz val="10"/>
        <color theme="1"/>
        <name val="Arial Nova Light"/>
        <scheme val="none"/>
      </font>
    </dxf>
    <dxf>
      <font>
        <b val="0"/>
        <i val="0"/>
        <strike val="0"/>
        <condense val="0"/>
        <extend val="0"/>
        <outline val="0"/>
        <shadow val="0"/>
        <u val="none"/>
        <vertAlign val="baseline"/>
        <sz val="12"/>
        <color theme="1"/>
        <name val="Arial Nova"/>
        <scheme val="none"/>
      </font>
      <fill>
        <patternFill patternType="solid">
          <fgColor indexed="64"/>
          <bgColor theme="3"/>
        </patternFill>
      </fill>
      <alignment horizontal="general" vertical="bottom" textRotation="0" wrapText="1" indent="0" justifyLastLine="0" shrinkToFit="0" readingOrder="0"/>
    </dxf>
    <dxf>
      <fill>
        <patternFill>
          <bgColor rgb="FFA9CFAD"/>
        </patternFill>
      </fill>
      <border>
        <top style="thin">
          <color theme="0"/>
        </top>
        <bottom style="thin">
          <color theme="0"/>
        </bottom>
        <vertical/>
        <horizontal/>
      </border>
    </dxf>
    <dxf>
      <font>
        <b/>
        <i val="0"/>
        <strike val="0"/>
        <condense val="0"/>
        <extend val="0"/>
        <outline val="0"/>
        <shadow val="0"/>
        <u val="none"/>
        <vertAlign val="baseline"/>
        <sz val="10"/>
        <color rgb="FF972929"/>
        <name val="Arial Nova"/>
        <scheme val="none"/>
      </font>
      <protection locked="0" hidden="0"/>
    </dxf>
    <dxf>
      <font>
        <b/>
        <i val="0"/>
        <strike val="0"/>
        <condense val="0"/>
        <extend val="0"/>
        <outline val="0"/>
        <shadow val="0"/>
        <u val="none"/>
        <vertAlign val="baseline"/>
        <sz val="10"/>
        <color rgb="FF972929"/>
        <name val="Arial Nova"/>
        <scheme val="none"/>
      </font>
      <protection locked="0" hidden="0"/>
    </dxf>
    <dxf>
      <numFmt numFmtId="165" formatCode="[$-F800]dddd\,\ mmmm\ dd\,\ yyyy"/>
    </dxf>
    <dxf>
      <font>
        <b/>
        <i val="0"/>
        <strike val="0"/>
        <condense val="0"/>
        <extend val="0"/>
        <outline val="0"/>
        <shadow val="0"/>
        <u val="none"/>
        <vertAlign val="baseline"/>
        <sz val="10"/>
        <color auto="1"/>
        <name val="Arial Nova"/>
        <scheme val="none"/>
      </font>
      <numFmt numFmtId="165" formatCode="[$-F800]dddd\,\ mmmm\ dd\,\ yyyy"/>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0"/>
        <color auto="1"/>
        <name val="Arial Nova Light"/>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auto="1"/>
        <name val="Arial Nova Light"/>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auto="1"/>
        <name val="Arial Nova Light"/>
        <scheme val="none"/>
      </font>
      <protection locked="0" hidden="0"/>
    </dxf>
    <dxf>
      <font>
        <b/>
        <i val="0"/>
        <strike val="0"/>
        <condense val="0"/>
        <extend val="0"/>
        <outline val="0"/>
        <shadow val="0"/>
        <u val="none"/>
        <vertAlign val="baseline"/>
        <sz val="10"/>
        <color rgb="FF972929"/>
        <name val="Arial Nova"/>
        <scheme val="none"/>
      </font>
      <numFmt numFmtId="19" formatCode="d/mm/yyyy"/>
      <alignment horizontal="left" textRotation="0" indent="0" justifyLastLine="0" shrinkToFit="0" readingOrder="0"/>
      <protection locked="0" hidden="0"/>
    </dxf>
    <dxf>
      <font>
        <b/>
        <i val="0"/>
        <strike val="0"/>
        <condense val="0"/>
        <extend val="0"/>
        <outline val="0"/>
        <shadow val="0"/>
        <u val="none"/>
        <vertAlign val="baseline"/>
        <sz val="10"/>
        <color rgb="FF972929"/>
        <name val="Arial Nova"/>
        <scheme val="none"/>
      </font>
      <protection locked="0" hidden="0"/>
    </dxf>
    <dxf>
      <font>
        <b val="0"/>
        <i val="0"/>
        <strike val="0"/>
        <condense val="0"/>
        <extend val="0"/>
        <outline val="0"/>
        <shadow val="0"/>
        <u val="none"/>
        <vertAlign val="baseline"/>
        <sz val="10"/>
        <color theme="1"/>
        <name val="Arial Nova Light"/>
        <scheme val="none"/>
      </font>
    </dxf>
    <dxf>
      <font>
        <b val="0"/>
        <i val="0"/>
        <strike val="0"/>
        <condense val="0"/>
        <extend val="0"/>
        <outline val="0"/>
        <shadow val="0"/>
        <u val="none"/>
        <vertAlign val="baseline"/>
        <sz val="12"/>
        <color theme="1"/>
        <name val="Arial Nova"/>
        <scheme val="none"/>
      </font>
      <fill>
        <patternFill patternType="solid">
          <fgColor indexed="64"/>
          <bgColor theme="3"/>
        </patternFill>
      </fill>
      <alignment horizontal="general" vertical="bottom" textRotation="0" wrapText="1" indent="0" justifyLastLine="0" shrinkToFit="0" readingOrder="0"/>
    </dxf>
    <dxf>
      <fill>
        <patternFill>
          <bgColor rgb="FFA9CFAD"/>
        </patternFill>
      </fill>
      <border>
        <top style="thin">
          <color theme="0"/>
        </top>
        <bottom style="thin">
          <color theme="0"/>
        </bottom>
        <vertical/>
        <horizontal/>
      </border>
    </dxf>
    <dxf>
      <font>
        <b/>
        <i val="0"/>
        <strike val="0"/>
        <condense val="0"/>
        <extend val="0"/>
        <outline val="0"/>
        <shadow val="0"/>
        <u val="none"/>
        <vertAlign val="baseline"/>
        <sz val="10"/>
        <color rgb="FF972929"/>
        <name val="Arial Nova"/>
        <scheme val="none"/>
      </font>
      <numFmt numFmtId="164" formatCode="&quot;$&quot;#,##0.00"/>
      <fill>
        <patternFill patternType="none">
          <fgColor indexed="64"/>
          <bgColor auto="1"/>
        </patternFill>
      </fill>
      <alignment horizontal="general" vertical="bottom" textRotation="0" wrapText="1" indent="0" justifyLastLine="0" shrinkToFit="0" readingOrder="0"/>
      <protection locked="0" hidden="0"/>
    </dxf>
    <dxf>
      <font>
        <b/>
        <i val="0"/>
        <strike val="0"/>
        <condense val="0"/>
        <extend val="0"/>
        <outline val="0"/>
        <shadow val="0"/>
        <u val="none"/>
        <vertAlign val="baseline"/>
        <sz val="10"/>
        <color rgb="FF972929"/>
        <name val="Arial Nova"/>
        <scheme val="none"/>
      </font>
      <numFmt numFmtId="164" formatCode="&quot;$&quot;#,##0.00"/>
      <fill>
        <patternFill patternType="none">
          <fgColor indexed="64"/>
          <bgColor indexed="65"/>
        </patternFill>
      </fill>
      <alignment horizontal="general" vertical="bottom" textRotation="0" wrapText="1" indent="0" justifyLastLine="0" shrinkToFit="0" readingOrder="0"/>
      <protection locked="0" hidden="0"/>
    </dxf>
    <dxf>
      <font>
        <b/>
        <i val="0"/>
        <strike val="0"/>
        <condense val="0"/>
        <extend val="0"/>
        <outline val="0"/>
        <shadow val="0"/>
        <u val="none"/>
        <vertAlign val="baseline"/>
        <sz val="10"/>
        <color rgb="FF972929"/>
        <name val="Arial Nova"/>
        <scheme val="none"/>
      </font>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8"/>
        <color auto="1"/>
        <name val="Arial Nova Light"/>
        <scheme val="none"/>
      </font>
      <fill>
        <patternFill patternType="none">
          <fgColor indexed="64"/>
          <bgColor auto="1"/>
        </patternFill>
      </fill>
      <alignment horizontal="general" vertical="bottom" textRotation="0" wrapText="0" indent="0" justifyLastLine="0" shrinkToFit="0" readingOrder="0"/>
      <border diagonalUp="0" diagonalDown="0">
        <left/>
        <right style="thick">
          <color theme="0" tint="-0.14996795556505021"/>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style="thin">
          <color theme="0" tint="-0.14996795556505021"/>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style="thick">
          <color theme="0" tint="-0.249977111117893"/>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8"/>
        <color theme="0"/>
        <name val="Arial Nova Light"/>
        <family val="2"/>
        <scheme val="none"/>
      </font>
      <fill>
        <patternFill patternType="solid">
          <fgColor indexed="64"/>
          <bgColor theme="1" tint="0.499984740745262"/>
        </patternFill>
      </fill>
      <alignment horizontal="general" vertical="bottom" textRotation="0" wrapText="0" indent="0" justifyLastLine="0" shrinkToFit="0" readingOrder="0"/>
      <border diagonalUp="0" diagonalDown="0" outline="0">
        <left style="thin">
          <color theme="0" tint="-0.14999847407452621"/>
        </left>
        <right/>
        <top/>
        <bottom/>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outline="0">
        <left style="thin">
          <color theme="0" tint="-0.14999847407452621"/>
        </left>
        <right style="thin">
          <color theme="0" tint="-0.14999847407452621"/>
        </right>
        <top/>
        <bottom/>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border diagonalUp="0" diagonalDown="0">
        <left style="thin">
          <color theme="0" tint="-0.14999847407452621"/>
        </left>
        <right/>
        <top/>
        <bottom/>
        <vertical/>
        <horizontal/>
      </border>
      <protection locked="0" hidden="0"/>
    </dxf>
    <dxf>
      <font>
        <b val="0"/>
        <i val="0"/>
        <strike val="0"/>
        <condense val="0"/>
        <extend val="0"/>
        <outline val="0"/>
        <shadow val="0"/>
        <u val="none"/>
        <vertAlign val="baseline"/>
        <sz val="8"/>
        <color auto="1"/>
        <name val="Arial Nova Light"/>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0"/>
        <color theme="0"/>
        <name val="Arial Nova Light"/>
        <scheme val="none"/>
      </font>
      <numFmt numFmtId="19" formatCode="d/mm/yyyy"/>
      <fill>
        <patternFill patternType="solid">
          <fgColor indexed="64"/>
          <bgColor theme="2" tint="-0.499984740745262"/>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0"/>
        <name val="Arial Nova Light"/>
        <scheme val="none"/>
      </font>
      <numFmt numFmtId="19" formatCode="d/mm/yyyy"/>
      <fill>
        <patternFill patternType="solid">
          <fgColor indexed="64"/>
          <bgColor theme="2" tint="-0.499984740745262"/>
        </patternFill>
      </fill>
      <alignment horizontal="general" vertical="bottom" textRotation="0" wrapText="1" indent="0" justifyLastLine="0" shrinkToFit="0" readingOrder="0"/>
      <border diagonalUp="0" diagonalDown="0">
        <left/>
        <right style="thick">
          <color theme="0" tint="-0.249977111117893"/>
        </right>
        <top/>
        <bottom/>
        <vertical/>
        <horizontal/>
      </border>
      <protection locked="0" hidden="0"/>
    </dxf>
    <dxf>
      <font>
        <b val="0"/>
        <i val="0"/>
        <strike val="0"/>
        <condense val="0"/>
        <extend val="0"/>
        <outline val="0"/>
        <shadow val="0"/>
        <u val="none"/>
        <vertAlign val="baseline"/>
        <sz val="10"/>
        <color theme="0"/>
        <name val="Arial Nova Light"/>
        <scheme val="none"/>
      </font>
      <numFmt numFmtId="0" formatCode="General"/>
      <fill>
        <patternFill patternType="solid">
          <fgColor indexed="64"/>
          <bgColor theme="2" tint="-0.499984740745262"/>
        </patternFill>
      </fill>
      <alignment horizontal="general" vertical="bottom" textRotation="0" wrapText="1" indent="0" justifyLastLine="0" shrinkToFit="0" readingOrder="0"/>
      <protection locked="0" hidden="0"/>
    </dxf>
    <dxf>
      <font>
        <b/>
        <i val="0"/>
        <strike val="0"/>
        <condense val="0"/>
        <extend val="0"/>
        <outline val="0"/>
        <shadow val="0"/>
        <u val="none"/>
        <vertAlign val="baseline"/>
        <sz val="10"/>
        <color rgb="FF972929"/>
        <name val="Arial Nova"/>
        <scheme val="none"/>
      </font>
      <alignment horizontal="general" vertical="bottom" textRotation="0" wrapText="1" indent="0" justifyLastLine="0" shrinkToFit="0" readingOrder="0"/>
      <protection locked="0" hidden="0"/>
    </dxf>
    <dxf>
      <font>
        <b/>
        <i val="0"/>
        <strike val="0"/>
        <condense val="0"/>
        <extend val="0"/>
        <outline val="0"/>
        <shadow val="0"/>
        <u val="none"/>
        <vertAlign val="baseline"/>
        <sz val="10"/>
        <color rgb="FF972929"/>
        <name val="Arial Nova"/>
        <scheme val="none"/>
      </font>
      <numFmt numFmtId="19" formatCode="d/mm/yyyy"/>
      <fill>
        <patternFill patternType="none">
          <fgColor indexed="64"/>
          <bgColor auto="1"/>
        </patternFill>
      </fill>
      <alignment horizontal="general" vertical="bottom" textRotation="0" wrapText="1" indent="0" justifyLastLine="0" shrinkToFit="0" readingOrder="0"/>
      <protection locked="0" hidden="0"/>
    </dxf>
    <dxf>
      <font>
        <b/>
        <i val="0"/>
        <strike val="0"/>
        <condense val="0"/>
        <extend val="0"/>
        <outline val="0"/>
        <shadow val="0"/>
        <u val="none"/>
        <vertAlign val="baseline"/>
        <sz val="10"/>
        <color auto="1"/>
        <name val="Arial Nova"/>
        <scheme val="none"/>
      </font>
      <numFmt numFmtId="165" formatCode="[$-F800]dddd\,\ mmmm\ dd\,\ yyyy"/>
      <fill>
        <patternFill patternType="none">
          <fgColor indexed="64"/>
          <bgColor auto="1"/>
        </patternFill>
      </fill>
      <alignment horizontal="left" vertical="bottom" textRotation="0" wrapText="1" indent="0" justifyLastLine="0" shrinkToFit="0" readingOrder="0"/>
      <protection locked="0" hidden="0"/>
    </dxf>
    <dxf>
      <font>
        <b/>
        <i val="0"/>
        <strike val="0"/>
        <condense val="0"/>
        <extend val="0"/>
        <outline val="0"/>
        <shadow val="0"/>
        <u val="none"/>
        <vertAlign val="baseline"/>
        <sz val="10"/>
        <color rgb="FF972929"/>
        <name val="Arial Nova"/>
        <scheme val="none"/>
      </font>
      <alignment horizontal="left" vertical="bottom" textRotation="0" wrapText="1" indent="0" justifyLastLine="0" shrinkToFit="0" readingOrder="0"/>
      <protection locked="0" hidden="0"/>
    </dxf>
    <dxf>
      <font>
        <b/>
        <i val="0"/>
        <strike val="0"/>
        <condense val="0"/>
        <extend val="0"/>
        <outline val="0"/>
        <shadow val="0"/>
        <u val="none"/>
        <vertAlign val="baseline"/>
        <sz val="10"/>
        <color rgb="FF972929"/>
        <name val="Arial Nova"/>
        <scheme val="none"/>
      </font>
      <alignment horizontal="left" vertical="bottom" textRotation="0" wrapText="1" indent="0" justifyLastLine="0" shrinkToFit="0" readingOrder="0"/>
      <protection locked="0" hidden="0"/>
    </dxf>
    <dxf>
      <font>
        <b/>
        <i val="0"/>
        <strike val="0"/>
        <condense val="0"/>
        <extend val="0"/>
        <outline val="0"/>
        <shadow val="0"/>
        <u val="none"/>
        <vertAlign val="baseline"/>
        <sz val="10"/>
        <color rgb="FF972929"/>
        <name val="Arial Nova"/>
        <scheme val="none"/>
      </font>
      <alignment horizontal="general" vertical="bottom" textRotation="0" wrapText="1" indent="0" justifyLastLine="0" shrinkToFit="0" readingOrder="0"/>
      <protection locked="0" hidden="0"/>
    </dxf>
    <dxf>
      <font>
        <b/>
        <i val="0"/>
        <strike val="0"/>
        <condense val="0"/>
        <extend val="0"/>
        <outline val="0"/>
        <shadow val="0"/>
        <u val="none"/>
        <vertAlign val="baseline"/>
        <sz val="10"/>
        <color auto="1"/>
        <name val="Arial Nova"/>
        <scheme val="none"/>
      </font>
      <numFmt numFmtId="165" formatCode="[$-F800]dddd\,\ mmmm\ dd\,\ yyyy"/>
      <fill>
        <patternFill patternType="none">
          <fgColor indexed="64"/>
          <bgColor auto="1"/>
        </patternFill>
      </fill>
      <alignment horizontal="left" vertical="bottom" textRotation="0" wrapText="1" indent="0" justifyLastLine="0" shrinkToFit="0" readingOrder="0"/>
      <protection locked="0" hidden="0"/>
    </dxf>
    <dxf>
      <font>
        <b/>
        <i val="0"/>
        <strike val="0"/>
        <condense val="0"/>
        <extend val="0"/>
        <outline val="0"/>
        <shadow val="0"/>
        <u val="none"/>
        <vertAlign val="baseline"/>
        <sz val="10"/>
        <color theme="0" tint="-0.499984740745262"/>
        <name val="Arial Nova"/>
        <scheme val="none"/>
      </font>
      <numFmt numFmtId="19" formatCode="d/mm/yyyy"/>
      <alignment horizontal="left" vertical="bottom" textRotation="0" wrapText="1" indent="0" justifyLastLine="0" shrinkToFit="0" readingOrder="0"/>
      <protection locked="0" hidden="0"/>
    </dxf>
    <dxf>
      <font>
        <b val="0"/>
        <i val="0"/>
        <strike val="0"/>
        <condense val="0"/>
        <extend val="0"/>
        <outline val="0"/>
        <shadow val="0"/>
        <u val="none"/>
        <vertAlign val="baseline"/>
        <sz val="10"/>
        <color auto="1"/>
        <name val="Arial Nova Light"/>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auto="1"/>
        <name val="Arial Nova Light"/>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auto="1"/>
        <name val="Arial Nova Light"/>
        <scheme val="none"/>
      </font>
      <alignment horizontal="general" vertical="bottom" textRotation="0" wrapText="1" indent="0" justifyLastLine="0" shrinkToFit="0" readingOrder="0"/>
      <protection locked="0" hidden="0"/>
    </dxf>
    <dxf>
      <font>
        <b/>
        <i val="0"/>
        <strike val="0"/>
        <condense val="0"/>
        <extend val="0"/>
        <outline val="0"/>
        <shadow val="0"/>
        <u val="none"/>
        <vertAlign val="baseline"/>
        <sz val="10"/>
        <color auto="1"/>
        <name val="Arial Nova Light"/>
        <scheme val="none"/>
      </font>
      <alignment horizontal="general" vertical="bottom" textRotation="0" wrapText="1" indent="0" justifyLastLine="0" shrinkToFit="0" readingOrder="0"/>
      <protection locked="0" hidden="0"/>
    </dxf>
    <dxf>
      <font>
        <b/>
        <i val="0"/>
        <strike val="0"/>
        <condense val="0"/>
        <extend val="0"/>
        <outline val="0"/>
        <shadow val="0"/>
        <u val="none"/>
        <vertAlign val="baseline"/>
        <sz val="10"/>
        <color rgb="FF972929"/>
        <name val="Arial Nova"/>
        <scheme val="none"/>
      </font>
      <alignment horizontal="general" vertical="bottom" textRotation="0" wrapText="1" indent="0" justifyLastLine="0" shrinkToFit="0" readingOrder="0"/>
      <protection locked="0" hidden="0"/>
    </dxf>
    <dxf>
      <font>
        <b/>
        <i val="0"/>
        <strike val="0"/>
        <condense val="0"/>
        <extend val="0"/>
        <outline val="0"/>
        <shadow val="0"/>
        <u val="none"/>
        <vertAlign val="baseline"/>
        <sz val="10"/>
        <color rgb="FF972929"/>
        <name val="Arial Nova"/>
        <scheme val="none"/>
      </font>
      <numFmt numFmtId="19" formatCode="d/mm/yyyy"/>
      <alignment horizontal="general" vertical="bottom" textRotation="0" wrapText="1" indent="0" justifyLastLine="0" shrinkToFit="0" readingOrder="0"/>
      <protection locked="0" hidden="0"/>
    </dxf>
    <dxf>
      <font>
        <b/>
        <i val="0"/>
        <strike val="0"/>
        <condense val="0"/>
        <extend val="0"/>
        <outline val="0"/>
        <shadow val="0"/>
        <u val="none"/>
        <vertAlign val="baseline"/>
        <sz val="10"/>
        <color rgb="FF972929"/>
        <name val="Arial Nova"/>
        <scheme val="none"/>
      </font>
      <numFmt numFmtId="19" formatCode="d/mm/yyyy"/>
      <alignment horizontal="left" vertical="bottom" textRotation="0" wrapText="1" indent="0" justifyLastLine="0" shrinkToFit="0" readingOrder="0"/>
      <protection locked="0" hidden="0"/>
    </dxf>
    <dxf>
      <font>
        <b/>
        <i val="0"/>
        <strike val="0"/>
        <condense val="0"/>
        <extend val="0"/>
        <outline val="0"/>
        <shadow val="0"/>
        <u val="none"/>
        <vertAlign val="baseline"/>
        <sz val="10"/>
        <color rgb="FF972929"/>
        <name val="Arial Nova"/>
        <scheme val="none"/>
      </font>
      <alignment horizontal="general" vertical="bottom" textRotation="0" wrapText="1" indent="0" justifyLastLine="0" shrinkToFit="0" readingOrder="0"/>
      <protection locked="0" hidden="0"/>
    </dxf>
    <dxf>
      <font>
        <strike val="0"/>
        <outline val="0"/>
        <shadow val="0"/>
        <u val="none"/>
        <vertAlign val="baseline"/>
        <sz val="10"/>
        <name val="Arial Nova Light"/>
        <scheme val="none"/>
      </font>
      <protection locked="0" hidden="0"/>
    </dxf>
    <dxf>
      <font>
        <b val="0"/>
        <i val="0"/>
        <strike val="0"/>
        <condense val="0"/>
        <extend val="0"/>
        <outline val="0"/>
        <shadow val="0"/>
        <u val="none"/>
        <vertAlign val="baseline"/>
        <sz val="12"/>
        <color theme="0" tint="-4.9989318521683403E-2"/>
        <name val="Arial Nova"/>
        <scheme val="none"/>
      </font>
      <fill>
        <patternFill patternType="solid">
          <fgColor indexed="64"/>
          <bgColor theme="3"/>
        </patternFill>
      </fill>
      <alignment horizontal="general" vertical="bottom" textRotation="0" wrapText="1" indent="0" justifyLastLine="0" shrinkToFit="0" readingOrder="0"/>
      <protection locked="0" hidden="0"/>
    </dxf>
    <dxf>
      <fill>
        <patternFill>
          <bgColor rgb="FFA9CFAD"/>
        </patternFill>
      </fill>
      <border>
        <top style="thin">
          <color theme="0"/>
        </top>
        <bottom style="thin">
          <color theme="0"/>
        </bottom>
        <vertical/>
        <horizontal/>
      </border>
    </dxf>
  </dxfs>
  <tableStyles count="0" defaultTableStyle="TableStyleMedium2" defaultPivotStyle="PivotStyleLight16"/>
  <colors>
    <mruColors>
      <color rgb="FF64426A"/>
      <color rgb="FF724B79"/>
      <color rgb="FF7D6247"/>
      <color rgb="FF3F6065"/>
      <color rgb="FF972929"/>
      <color rgb="FFFF8989"/>
      <color rgb="FFA9CFAD"/>
      <color rgb="FF4B7479"/>
      <color rgb="FF597D5D"/>
      <color rgb="FF5B8C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66675</xdr:colOff>
      <xdr:row>23</xdr:row>
      <xdr:rowOff>123825</xdr:rowOff>
    </xdr:from>
    <xdr:to>
      <xdr:col>5</xdr:col>
      <xdr:colOff>4081635</xdr:colOff>
      <xdr:row>26</xdr:row>
      <xdr:rowOff>333374</xdr:rowOff>
    </xdr:to>
    <xdr:pic>
      <xdr:nvPicPr>
        <xdr:cNvPr id="2" name="Picture 1">
          <a:extLst>
            <a:ext uri="{FF2B5EF4-FFF2-40B4-BE49-F238E27FC236}">
              <a16:creationId xmlns:a16="http://schemas.microsoft.com/office/drawing/2014/main" id="{1FF0AE84-E3A6-4CEF-A936-C8711D6F6E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41" r="29781"/>
        <a:stretch/>
      </xdr:blipFill>
      <xdr:spPr>
        <a:xfrm>
          <a:off x="3209925" y="4543425"/>
          <a:ext cx="4014960" cy="933449"/>
        </a:xfrm>
        <a:prstGeom prst="rect">
          <a:avLst/>
        </a:prstGeom>
        <a:ln w="57150">
          <a:noFill/>
        </a:ln>
        <a:effectLst>
          <a:outerShdw blurRad="50800" dist="38100" dir="5400000" algn="t" rotWithShape="0">
            <a:prstClr val="black">
              <a:alpha val="40000"/>
            </a:prstClr>
          </a:outerShdw>
        </a:effectLst>
      </xdr:spPr>
    </xdr:pic>
    <xdr:clientData/>
  </xdr:twoCellAnchor>
  <xdr:twoCellAnchor editAs="oneCell">
    <xdr:from>
      <xdr:col>5</xdr:col>
      <xdr:colOff>2714628</xdr:colOff>
      <xdr:row>24</xdr:row>
      <xdr:rowOff>314326</xdr:rowOff>
    </xdr:from>
    <xdr:to>
      <xdr:col>7</xdr:col>
      <xdr:colOff>277837</xdr:colOff>
      <xdr:row>26</xdr:row>
      <xdr:rowOff>647700</xdr:rowOff>
    </xdr:to>
    <xdr:pic>
      <xdr:nvPicPr>
        <xdr:cNvPr id="3" name="Picture 2">
          <a:extLst>
            <a:ext uri="{FF2B5EF4-FFF2-40B4-BE49-F238E27FC236}">
              <a16:creationId xmlns:a16="http://schemas.microsoft.com/office/drawing/2014/main" id="{8DD7B145-82C5-431A-A66F-50AC0590157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012" r="8012"/>
        <a:stretch/>
      </xdr:blipFill>
      <xdr:spPr>
        <a:xfrm>
          <a:off x="5991228" y="5486401"/>
          <a:ext cx="3630634" cy="923924"/>
        </a:xfrm>
        <a:prstGeom prst="rect">
          <a:avLst/>
        </a:prstGeom>
        <a:ln w="57150">
          <a:noFill/>
        </a:ln>
        <a:effectLst>
          <a:outerShdw blurRad="50800" dist="38100" dir="5400000" algn="t" rotWithShape="0">
            <a:prstClr val="black">
              <a:alpha val="40000"/>
            </a:prstClr>
          </a:outerShdw>
        </a:effectLst>
      </xdr:spPr>
    </xdr:pic>
    <xdr:clientData/>
  </xdr:twoCellAnchor>
  <xdr:twoCellAnchor editAs="oneCell">
    <xdr:from>
      <xdr:col>5</xdr:col>
      <xdr:colOff>1190626</xdr:colOff>
      <xdr:row>29</xdr:row>
      <xdr:rowOff>95251</xdr:rowOff>
    </xdr:from>
    <xdr:to>
      <xdr:col>5</xdr:col>
      <xdr:colOff>4612010</xdr:colOff>
      <xdr:row>31</xdr:row>
      <xdr:rowOff>208726</xdr:rowOff>
    </xdr:to>
    <xdr:pic>
      <xdr:nvPicPr>
        <xdr:cNvPr id="4" name="Picture 3">
          <a:extLst>
            <a:ext uri="{FF2B5EF4-FFF2-40B4-BE49-F238E27FC236}">
              <a16:creationId xmlns:a16="http://schemas.microsoft.com/office/drawing/2014/main" id="{4B79706A-98BC-462F-AD08-2F1959B3712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t="27986" b="27986"/>
        <a:stretch/>
      </xdr:blipFill>
      <xdr:spPr>
        <a:xfrm>
          <a:off x="4219576" y="6553201"/>
          <a:ext cx="3421384" cy="504000"/>
        </a:xfrm>
        <a:prstGeom prst="rect">
          <a:avLst/>
        </a:prstGeom>
        <a:ln w="57150">
          <a:noFill/>
        </a:ln>
        <a:effectLst>
          <a:outerShdw blurRad="50800" dist="38100" dir="5400000" algn="t" rotWithShape="0">
            <a:prstClr val="black">
              <a:alpha val="40000"/>
            </a:prstClr>
          </a:outerShdw>
        </a:effectLst>
      </xdr:spPr>
    </xdr:pic>
    <xdr:clientData/>
  </xdr:twoCellAnchor>
  <xdr:twoCellAnchor editAs="oneCell">
    <xdr:from>
      <xdr:col>5</xdr:col>
      <xdr:colOff>2657039</xdr:colOff>
      <xdr:row>31</xdr:row>
      <xdr:rowOff>104775</xdr:rowOff>
    </xdr:from>
    <xdr:to>
      <xdr:col>6</xdr:col>
      <xdr:colOff>578253</xdr:colOff>
      <xdr:row>33</xdr:row>
      <xdr:rowOff>104775</xdr:rowOff>
    </xdr:to>
    <xdr:pic>
      <xdr:nvPicPr>
        <xdr:cNvPr id="5" name="Picture 4">
          <a:extLst>
            <a:ext uri="{FF2B5EF4-FFF2-40B4-BE49-F238E27FC236}">
              <a16:creationId xmlns:a16="http://schemas.microsoft.com/office/drawing/2014/main" id="{3A2F0DD6-6511-44F1-AB63-06E0870A9D6C}"/>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5062" r="10303" b="23022"/>
        <a:stretch/>
      </xdr:blipFill>
      <xdr:spPr>
        <a:xfrm>
          <a:off x="5685989" y="6943725"/>
          <a:ext cx="3379039" cy="581025"/>
        </a:xfrm>
        <a:prstGeom prst="rect">
          <a:avLst/>
        </a:prstGeom>
        <a:ln w="57150">
          <a:noFill/>
        </a:ln>
        <a:effectLst>
          <a:outerShdw blurRad="50800" dist="38100" dir="5400000" algn="t" rotWithShape="0">
            <a:prstClr val="black">
              <a:alpha val="40000"/>
            </a:prstClr>
          </a:outerShdw>
        </a:effectLst>
      </xdr:spPr>
    </xdr:pic>
    <xdr:clientData/>
  </xdr:twoCellAnchor>
  <xdr:twoCellAnchor editAs="oneCell">
    <xdr:from>
      <xdr:col>5</xdr:col>
      <xdr:colOff>4057651</xdr:colOff>
      <xdr:row>33</xdr:row>
      <xdr:rowOff>95251</xdr:rowOff>
    </xdr:from>
    <xdr:to>
      <xdr:col>9</xdr:col>
      <xdr:colOff>253202</xdr:colOff>
      <xdr:row>36</xdr:row>
      <xdr:rowOff>27751</xdr:rowOff>
    </xdr:to>
    <xdr:pic>
      <xdr:nvPicPr>
        <xdr:cNvPr id="6" name="Picture 5">
          <a:extLst>
            <a:ext uri="{FF2B5EF4-FFF2-40B4-BE49-F238E27FC236}">
              <a16:creationId xmlns:a16="http://schemas.microsoft.com/office/drawing/2014/main" id="{91A14576-D1AE-4F46-9B95-8DAB79B5D48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t="20352" b="20352"/>
        <a:stretch/>
      </xdr:blipFill>
      <xdr:spPr>
        <a:xfrm>
          <a:off x="7086601" y="7505701"/>
          <a:ext cx="3482176" cy="504000"/>
        </a:xfrm>
        <a:prstGeom prst="rect">
          <a:avLst/>
        </a:prstGeom>
        <a:ln w="57150">
          <a:noFill/>
        </a:ln>
        <a:effectLst>
          <a:outerShdw blurRad="50800" dist="38100" dir="5400000" algn="t" rotWithShape="0">
            <a:prstClr val="black">
              <a:alpha val="40000"/>
            </a:prstClr>
          </a:outerShdw>
        </a:effectLst>
      </xdr:spPr>
    </xdr:pic>
    <xdr:clientData/>
  </xdr:twoCellAnchor>
  <xdr:twoCellAnchor editAs="oneCell">
    <xdr:from>
      <xdr:col>5</xdr:col>
      <xdr:colOff>1981200</xdr:colOff>
      <xdr:row>38</xdr:row>
      <xdr:rowOff>1</xdr:rowOff>
    </xdr:from>
    <xdr:to>
      <xdr:col>6</xdr:col>
      <xdr:colOff>428625</xdr:colOff>
      <xdr:row>42</xdr:row>
      <xdr:rowOff>207017</xdr:rowOff>
    </xdr:to>
    <xdr:pic>
      <xdr:nvPicPr>
        <xdr:cNvPr id="10" name="Picture 9">
          <a:extLst>
            <a:ext uri="{FF2B5EF4-FFF2-40B4-BE49-F238E27FC236}">
              <a16:creationId xmlns:a16="http://schemas.microsoft.com/office/drawing/2014/main" id="{C8DEE98C-B9F7-488A-B06A-29DD42CCE1F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010150" y="8334376"/>
          <a:ext cx="3905250" cy="2292991"/>
        </a:xfrm>
        <a:prstGeom prst="rect">
          <a:avLst/>
        </a:prstGeom>
        <a:ln w="57150">
          <a:noFill/>
        </a:ln>
        <a:effectLst>
          <a:outerShdw blurRad="50800" dist="38100" dir="5400000" algn="t" rotWithShape="0">
            <a:prstClr val="black">
              <a:alpha val="40000"/>
            </a:prstClr>
          </a:outerShdw>
        </a:effectLst>
      </xdr:spPr>
    </xdr:pic>
    <xdr:clientData/>
  </xdr:twoCellAnchor>
  <xdr:twoCellAnchor editAs="oneCell">
    <xdr:from>
      <xdr:col>5</xdr:col>
      <xdr:colOff>194372</xdr:colOff>
      <xdr:row>47</xdr:row>
      <xdr:rowOff>47624</xdr:rowOff>
    </xdr:from>
    <xdr:to>
      <xdr:col>9</xdr:col>
      <xdr:colOff>202362</xdr:colOff>
      <xdr:row>60</xdr:row>
      <xdr:rowOff>114299</xdr:rowOff>
    </xdr:to>
    <xdr:pic>
      <xdr:nvPicPr>
        <xdr:cNvPr id="12" name="Picture 11">
          <a:extLst>
            <a:ext uri="{FF2B5EF4-FFF2-40B4-BE49-F238E27FC236}">
              <a16:creationId xmlns:a16="http://schemas.microsoft.com/office/drawing/2014/main" id="{6283D380-E148-4C10-8897-05F13ED2463C}"/>
            </a:ext>
          </a:extLst>
        </xdr:cNvPr>
        <xdr:cNvPicPr>
          <a:picLocks noChangeAspect="1"/>
        </xdr:cNvPicPr>
      </xdr:nvPicPr>
      <xdr:blipFill>
        <a:blip xmlns:r="http://schemas.openxmlformats.org/officeDocument/2006/relationships" r:embed="rId7"/>
        <a:stretch>
          <a:fillRect/>
        </a:stretch>
      </xdr:blipFill>
      <xdr:spPr>
        <a:xfrm>
          <a:off x="3347147" y="14506574"/>
          <a:ext cx="7294615" cy="3190875"/>
        </a:xfrm>
        <a:prstGeom prst="rect">
          <a:avLst/>
        </a:prstGeom>
        <a:effectLst>
          <a:outerShdw blurRad="50800" dist="38100" dir="5400000" algn="t" rotWithShape="0">
            <a:prstClr val="black">
              <a:alpha val="40000"/>
            </a:prstClr>
          </a:outerShdw>
        </a:effectLst>
      </xdr:spPr>
    </xdr:pic>
    <xdr:clientData/>
  </xdr:twoCellAnchor>
  <xdr:twoCellAnchor editAs="oneCell">
    <xdr:from>
      <xdr:col>5</xdr:col>
      <xdr:colOff>1971674</xdr:colOff>
      <xdr:row>66</xdr:row>
      <xdr:rowOff>9524</xdr:rowOff>
    </xdr:from>
    <xdr:to>
      <xdr:col>9</xdr:col>
      <xdr:colOff>38794</xdr:colOff>
      <xdr:row>70</xdr:row>
      <xdr:rowOff>76199</xdr:rowOff>
    </xdr:to>
    <xdr:pic>
      <xdr:nvPicPr>
        <xdr:cNvPr id="8" name="Picture 7">
          <a:extLst>
            <a:ext uri="{FF2B5EF4-FFF2-40B4-BE49-F238E27FC236}">
              <a16:creationId xmlns:a16="http://schemas.microsoft.com/office/drawing/2014/main" id="{D6D8EE90-3093-4766-B88C-5C3DB1D21B56}"/>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t="12992" b="11811"/>
        <a:stretch/>
      </xdr:blipFill>
      <xdr:spPr>
        <a:xfrm>
          <a:off x="5248274" y="18764249"/>
          <a:ext cx="5353745" cy="2028825"/>
        </a:xfrm>
        <a:prstGeom prst="rect">
          <a:avLst/>
        </a:prstGeom>
        <a:effectLst>
          <a:outerShdw blurRad="50800" dist="38100" dir="5400000" algn="t" rotWithShape="0">
            <a:prstClr val="black">
              <a:alpha val="40000"/>
            </a:prstClr>
          </a:outerShdw>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AX4" totalsRowShown="0" headerRowDxfId="76" dataDxfId="75">
  <autoFilter ref="A3:AX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autoFilter>
  <sortState xmlns:xlrd2="http://schemas.microsoft.com/office/spreadsheetml/2017/richdata2" ref="B4:AX4">
    <sortCondition ref="B3:B4"/>
  </sortState>
  <tableColumns count="50">
    <tableColumn id="1" xr3:uid="{00000000-0010-0000-0000-000001000000}" name="App ID / Ref #" dataDxfId="74"/>
    <tableColumn id="2" xr3:uid="{00000000-0010-0000-0000-000002000000}" name="Date received" dataDxfId="73"/>
    <tableColumn id="4" xr3:uid="{00000000-0010-0000-0000-000004000000}" name="Application Type_x000a_(drop down)" dataDxfId="72"/>
    <tableColumn id="5" xr3:uid="{00000000-0010-0000-0000-000005000000}" name="Applicant Type_x000a_(drop down)" dataDxfId="71"/>
    <tableColumn id="6" xr3:uid="{00000000-0010-0000-0000-000006000000}" name="Details of request" dataDxfId="70"/>
    <tableColumn id="3" xr3:uid="{00000000-0010-0000-0000-000003000000}" name="Applicant name" dataDxfId="69"/>
    <tableColumn id="21" xr3:uid="{00000000-0010-0000-0000-000015000000}" name="Applicant contact details" dataDxfId="68"/>
    <tableColumn id="22" xr3:uid="{00000000-0010-0000-0000-000016000000}" name="Applicant postal address" dataDxfId="67"/>
    <tableColumn id="53" xr3:uid="{00000000-0010-0000-0000-000035000000}" name="Current year?" dataDxfId="66">
      <calculatedColumnFormula>IF((Table1[[#This Row],[Date received]])&gt;='Public Holidays and Fees'!$J$4,"Y","N")</calculatedColumnFormula>
    </tableColumn>
    <tableColumn id="7" xr3:uid="{00000000-0010-0000-0000-000007000000}" name="Due Date_x000a_(automatically calculated)" dataDxfId="65">
      <calculatedColumnFormula>IF(Table1[[#This Row],[Date received]]="","",(WORKDAY(Table1[[#This Row],[Date received]]+30-1,1,'Public Holidays and Fees'!$D$4:$D$47)))</calculatedColumnFormula>
    </tableColumn>
    <tableColumn id="8" xr3:uid="{00000000-0010-0000-0000-000008000000}" name="Extension type_x000a_(drop down)" dataDxfId="64"/>
    <tableColumn id="9" xr3:uid="{00000000-0010-0000-0000-000009000000}" name="Extension period (days)" dataDxfId="63"/>
    <tableColumn id="52" xr3:uid="{00000000-0010-0000-0000-000034000000}" name="Advance Deposit_x000a_(days clock stopped)" dataDxfId="62"/>
    <tableColumn id="48" xr3:uid="{00000000-0010-0000-0000-000030000000}" name="New due date_x000a_(automatically calculated)" dataDxfId="61">
      <calculatedColumnFormula>IF(Table1[[#This Row],[Date received]]="","",(WORKDAY(Table1[[#This Row],[Due Date
(automatically calculated)]]+Table1[[#This Row],[Advance Deposit
(days clock stopped)]]+Table1[[#This Row],[Extension period (days)]]-1,1,'Public Holidays and Fees'!$D$4:$D$47)))</calculatedColumnFormula>
    </tableColumn>
    <tableColumn id="50" xr3:uid="{00000000-0010-0000-0000-000032000000}" name="Determination/ Closed date" dataDxfId="60"/>
    <tableColumn id="10" xr3:uid="{00000000-0010-0000-0000-00000A000000}" name="Outcome_x000a_(drop down)" dataDxfId="59"/>
    <tableColumn id="11" xr3:uid="{00000000-0010-0000-0000-00000B000000}" name="Time taken to respond_x000a_(auto calculated)" dataDxfId="58">
      <calculatedColumnFormula>IF(Table1[[#This Row],[Determination/ Closed date]]="","",(IF((Table1[[#This Row],[Determination/ Closed date]]-Table1[[#This Row],[Date received]])&lt;=15,"0-15 days",IF((Table1[[#This Row],[Determination/ Closed date]]-Table1[[#This Row],[Date received]])&lt;=30,"16-30 days","&gt;30 days"))))</calculatedColumnFormula>
    </tableColumn>
    <tableColumn id="49" xr3:uid="{00000000-0010-0000-0000-000031000000}" name="Determination status_x000a_(auto calculated)" dataDxfId="57">
      <calculatedColumnFormula>IF(Table1[[#This Row],[Determination/ Closed date]]&lt;=Table1[[#This Row],[Due Date
(automatically calculated)]], "within timeframe", IF(Table1[[#This Row],[Determination/ Closed date]]&lt;=Table1[[#This Row],[New due date
(automatically calculated)]],"within extended timeframe", IF(Table1[[#This Row],[Determination/ Closed date]]&gt;Table1[[#This Row],[New due date
(automatically calculated)]],"outside of timeframe (deemed refusal)")))</calculatedColumnFormula>
    </tableColumn>
    <tableColumn id="13" xr3:uid="{00000000-0010-0000-0000-00000D000000}" name="Unfinished status" dataDxfId="56">
      <calculatedColumnFormula>IF(Table1[[#This Row],[New due date
(automatically calculated)]]&lt;TODAY(),"Y")</calculatedColumnFormula>
    </tableColumn>
    <tableColumn id="14" xr3:uid="{00000000-0010-0000-0000-00000E000000}" name="S15_x000a_" dataDxfId="55"/>
    <tableColumn id="15" xr3:uid="{00000000-0010-0000-0000-00000F000000}" name="S18(1)_x000a_" dataDxfId="54"/>
    <tableColumn id="16" xr3:uid="{00000000-0010-0000-0000-000010000000}" name="S18(2)(a)_x000a_" dataDxfId="53"/>
    <tableColumn id="17" xr3:uid="{00000000-0010-0000-0000-000011000000}" name="S18(3)_x000a_" dataDxfId="52"/>
    <tableColumn id="18" xr3:uid="{00000000-0010-0000-0000-000012000000}" name="S19(2)_x000a_" dataDxfId="51"/>
    <tableColumn id="19" xr3:uid="{00000000-0010-0000-0000-000013000000}" name="S20(1)(a)_x000a_" dataDxfId="50">
      <calculatedColumnFormula>IF(COUNTIF(Table1[[#This Row],[1]:[19]],"&lt;&gt;")&gt;0,"Applied","")</calculatedColumnFormula>
    </tableColumn>
    <tableColumn id="20" xr3:uid="{00000000-0010-0000-0000-000014000000}" name="S20(1)(b),(c),(d)_x000a_" dataDxfId="49"/>
    <tableColumn id="23" xr3:uid="{00000000-0010-0000-0000-000017000000}" name="Record does not exist or is lost" dataDxfId="48"/>
    <tableColumn id="24" xr3:uid="{00000000-0010-0000-0000-000018000000}" name="Exempt - Schedule 2" dataDxfId="47"/>
    <tableColumn id="25" xr3:uid="{00000000-0010-0000-0000-000019000000}" name="1" dataDxfId="46"/>
    <tableColumn id="26" xr3:uid="{00000000-0010-0000-0000-00001A000000}" name="2" dataDxfId="45"/>
    <tableColumn id="27" xr3:uid="{00000000-0010-0000-0000-00001B000000}" name="3" dataDxfId="44"/>
    <tableColumn id="28" xr3:uid="{00000000-0010-0000-0000-00001C000000}" name="4" dataDxfId="43"/>
    <tableColumn id="29" xr3:uid="{00000000-0010-0000-0000-00001D000000}" name="5" dataDxfId="42"/>
    <tableColumn id="30" xr3:uid="{00000000-0010-0000-0000-00001E000000}" name="6" dataDxfId="41"/>
    <tableColumn id="31" xr3:uid="{00000000-0010-0000-0000-00001F000000}" name="7" dataDxfId="40"/>
    <tableColumn id="32" xr3:uid="{00000000-0010-0000-0000-000020000000}" name="8" dataDxfId="39"/>
    <tableColumn id="33" xr3:uid="{00000000-0010-0000-0000-000021000000}" name="9" dataDxfId="38"/>
    <tableColumn id="34" xr3:uid="{00000000-0010-0000-0000-000022000000}" name="10" dataDxfId="37"/>
    <tableColumn id="35" xr3:uid="{00000000-0010-0000-0000-000023000000}" name="11" dataDxfId="36"/>
    <tableColumn id="36" xr3:uid="{00000000-0010-0000-0000-000024000000}" name="12" dataDxfId="35"/>
    <tableColumn id="37" xr3:uid="{00000000-0010-0000-0000-000025000000}" name="13" dataDxfId="34"/>
    <tableColumn id="38" xr3:uid="{00000000-0010-0000-0000-000026000000}" name="14" dataDxfId="33"/>
    <tableColumn id="39" xr3:uid="{00000000-0010-0000-0000-000027000000}" name="15" dataDxfId="32"/>
    <tableColumn id="40" xr3:uid="{00000000-0010-0000-0000-000028000000}" name="16" dataDxfId="31"/>
    <tableColumn id="41" xr3:uid="{00000000-0010-0000-0000-000029000000}" name="17" dataDxfId="30"/>
    <tableColumn id="42" xr3:uid="{00000000-0010-0000-0000-00002A000000}" name="18" dataDxfId="29"/>
    <tableColumn id="43" xr3:uid="{00000000-0010-0000-0000-00002B000000}" name="19" dataDxfId="28"/>
    <tableColumn id="45" xr3:uid="{00000000-0010-0000-0000-00002D000000}" name="If fees were waived, select the reason for waiving.  If not, leave blank._x000a_(drop down)" dataDxfId="27"/>
    <tableColumn id="12" xr3:uid="{00000000-0010-0000-0000-00000C000000}" name="Fees and charges assessed_x000a_(free text)" dataDxfId="26"/>
    <tableColumn id="47" xr3:uid="{00000000-0010-0000-0000-00002F000000}" name="Fees and charges collected_x000a_(free text)" dataDxfId="25"/>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3:I4" totalsRowShown="0" headerRowDxfId="23" dataDxfId="22">
  <autoFilter ref="A3:I4"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100-000001000000}" name="App ID / Ref #_x000a_(free text)" dataDxfId="21"/>
    <tableColumn id="2" xr3:uid="{00000000-0010-0000-0100-000002000000}" name="Date received_x000a_(free text)" dataDxfId="20"/>
    <tableColumn id="3" xr3:uid="{00000000-0010-0000-0100-000003000000}" name="Applicant name_x000a_(free text)" dataDxfId="19"/>
    <tableColumn id="4" xr3:uid="{00000000-0010-0000-0100-000004000000}" name="Details of request_x000a_(free text)" dataDxfId="18"/>
    <tableColumn id="9" xr3:uid="{00000000-0010-0000-0100-000009000000}" name="Current year?" dataDxfId="17">
      <calculatedColumnFormula>IF((Table3[[#This Row],[Date received
(free text)]])&gt;'Public Holidays and Fees'!$J$4,"Y","N")</calculatedColumnFormula>
    </tableColumn>
    <tableColumn id="5" xr3:uid="{00000000-0010-0000-0100-000005000000}" name="Due Date_x000a_(automatically calculated)" dataDxfId="16">
      <calculatedColumnFormula>IF(Table3[[#This Row],[Date received
(free text)]]="","",(WORKDAY(Table3[[#This Row],[Date received
(free text)]]+30-1,1,'Public Holidays and Fees'!$D$4:$D$47)))</calculatedColumnFormula>
    </tableColumn>
    <tableColumn id="7" xr3:uid="{00000000-0010-0000-0100-000007000000}" name="Overdue?" dataDxfId="15">
      <calculatedColumnFormula>IF(Table3[[#This Row],[Due Date
(automatically calculated)]]&lt;TODAY(),"Y")</calculatedColumnFormula>
    </tableColumn>
    <tableColumn id="6" xr3:uid="{00000000-0010-0000-0100-000006000000}" name="Outcome_x000a_(drop down)" dataDxfId="14"/>
    <tableColumn id="8" xr3:uid="{00000000-0010-0000-0100-000008000000}" name="Time taken to respond_x000a_(drop down)" dataDxfId="13"/>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3:J4" totalsRowShown="0" headerRowDxfId="11" dataDxfId="10">
  <autoFilter ref="A3:J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200-000001000000}" name="App ID / Ref #_x000a_(free text)" dataDxfId="9"/>
    <tableColumn id="2" xr3:uid="{00000000-0010-0000-0200-000002000000}" name="Date received_x000a_(free text)" dataDxfId="8"/>
    <tableColumn id="3" xr3:uid="{00000000-0010-0000-0200-000003000000}" name="Applicant name_x000a_(free text)" dataDxfId="7"/>
    <tableColumn id="4" xr3:uid="{00000000-0010-0000-0200-000004000000}" name="Details of request_x000a_(free text)" dataDxfId="6"/>
    <tableColumn id="7" xr3:uid="{00000000-0010-0000-0200-000007000000}" name="Current Year?" dataDxfId="5">
      <calculatedColumnFormula>IF((Table4[[#This Row],[Date received
(free text)]])&gt;'Public Holidays and Fees'!$J$4,"Y","N")</calculatedColumnFormula>
    </tableColumn>
    <tableColumn id="5" xr3:uid="{00000000-0010-0000-0200-000005000000}" name="Due Date_x000a_(auto calculated)" dataDxfId="4">
      <calculatedColumnFormula>IF(Table4[[#This Row],[Date received
(free text)]]="","",(WORKDAY(Table4[[#This Row],[Date received
(free text)]]+14-1,1,'Public Holidays and Fees'!$D$4:$D$47)))</calculatedColumnFormula>
    </tableColumn>
    <tableColumn id="6" xr3:uid="{00000000-0010-0000-0200-000006000000}" name="Outcome_x000a_(drop down)" dataDxfId="3"/>
    <tableColumn id="10" xr3:uid="{00000000-0010-0000-0200-00000A000000}" name="If fees were waived, select the reason for waiving.  If not, leave blank._x000a_(drop down)" dataDxfId="2"/>
    <tableColumn id="9" xr3:uid="{00000000-0010-0000-0200-000009000000}" name="Fees and charges assessed_x000a_(free text)" dataDxfId="1"/>
    <tableColumn id="8" xr3:uid="{00000000-0010-0000-0200-000008000000}" name="Fees and charges collected_x000a_(free text)"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7"/>
  <sheetViews>
    <sheetView showGridLines="0" showRowColHeaders="0" zoomScaleNormal="100" workbookViewId="0">
      <selection activeCell="F110" sqref="F110"/>
    </sheetView>
  </sheetViews>
  <sheetFormatPr defaultRowHeight="14.25"/>
  <cols>
    <col min="1" max="1" width="3.28515625" style="27" customWidth="1"/>
    <col min="2" max="3" width="1.85546875" style="27" customWidth="1"/>
    <col min="4" max="4" width="4.85546875" style="27" customWidth="1"/>
    <col min="5" max="5" width="37.28515625" style="27" customWidth="1"/>
    <col min="6" max="6" width="81.85546875" style="28" customWidth="1"/>
    <col min="7" max="9" width="9.140625" style="27"/>
    <col min="10" max="10" width="6.7109375" style="27" customWidth="1"/>
    <col min="11" max="11" width="1.5703125" style="27" customWidth="1"/>
    <col min="12" max="16384" width="9.140625" style="27"/>
  </cols>
  <sheetData>
    <row r="1" spans="1:11" ht="55.5" customHeight="1">
      <c r="A1"/>
      <c r="B1" s="76"/>
      <c r="C1" s="76"/>
      <c r="D1" s="143" t="s">
        <v>192</v>
      </c>
      <c r="E1" s="143"/>
      <c r="F1" s="143"/>
      <c r="G1" s="143"/>
      <c r="H1" s="143"/>
      <c r="I1" s="143"/>
      <c r="J1" s="143"/>
      <c r="K1" s="76"/>
    </row>
    <row r="2" spans="1:11" ht="6" customHeight="1">
      <c r="A2"/>
      <c r="C2" s="34"/>
      <c r="D2" s="34"/>
      <c r="E2" s="34"/>
      <c r="F2" s="35"/>
      <c r="G2" s="34"/>
      <c r="H2" s="34"/>
      <c r="I2" s="34"/>
      <c r="J2" s="34"/>
    </row>
    <row r="3" spans="1:11" ht="20.25">
      <c r="A3"/>
      <c r="C3" s="34"/>
      <c r="D3" s="33" t="s">
        <v>102</v>
      </c>
      <c r="E3" s="34"/>
      <c r="F3" s="35"/>
      <c r="G3" s="34"/>
      <c r="H3" s="34"/>
      <c r="I3" s="34"/>
      <c r="J3" s="34"/>
    </row>
    <row r="4" spans="1:11" ht="32.25" customHeight="1">
      <c r="A4"/>
      <c r="C4" s="34"/>
      <c r="D4" s="144" t="s">
        <v>244</v>
      </c>
      <c r="E4" s="144"/>
      <c r="F4" s="144"/>
      <c r="G4" s="34"/>
      <c r="H4" s="34"/>
      <c r="I4" s="34"/>
      <c r="J4" s="34"/>
    </row>
    <row r="5" spans="1:11" ht="16.5" customHeight="1">
      <c r="A5"/>
      <c r="C5" s="34"/>
      <c r="D5" s="123"/>
      <c r="E5" s="123"/>
      <c r="F5" s="123"/>
      <c r="G5" s="34"/>
      <c r="H5" s="34"/>
      <c r="I5" s="34"/>
      <c r="J5" s="34"/>
    </row>
    <row r="6" spans="1:11" ht="16.5" customHeight="1">
      <c r="A6"/>
      <c r="C6" s="34"/>
      <c r="D6" s="144" t="s">
        <v>197</v>
      </c>
      <c r="E6" s="144"/>
      <c r="F6" s="144"/>
      <c r="G6" s="34"/>
      <c r="H6" s="34"/>
      <c r="I6" s="34"/>
      <c r="J6" s="34"/>
    </row>
    <row r="7" spans="1:11" ht="16.5" customHeight="1">
      <c r="A7"/>
      <c r="C7" s="34"/>
      <c r="D7" s="110" t="s">
        <v>194</v>
      </c>
      <c r="E7" s="144" t="s">
        <v>198</v>
      </c>
      <c r="F7" s="144"/>
      <c r="G7" s="34"/>
      <c r="H7" s="34"/>
      <c r="I7" s="34"/>
      <c r="J7" s="34"/>
    </row>
    <row r="8" spans="1:11" ht="31.5" customHeight="1">
      <c r="A8"/>
      <c r="C8" s="34"/>
      <c r="D8" s="110" t="s">
        <v>195</v>
      </c>
      <c r="E8" s="144" t="s">
        <v>219</v>
      </c>
      <c r="F8" s="144"/>
      <c r="G8" s="34"/>
      <c r="H8" s="34"/>
      <c r="I8" s="34"/>
      <c r="J8" s="34"/>
    </row>
    <row r="9" spans="1:11" ht="30.75" customHeight="1">
      <c r="A9"/>
      <c r="C9" s="34"/>
      <c r="D9" s="110" t="s">
        <v>196</v>
      </c>
      <c r="E9" s="144" t="s">
        <v>209</v>
      </c>
      <c r="F9" s="144"/>
      <c r="G9" s="34"/>
      <c r="H9" s="34"/>
      <c r="I9" s="34"/>
      <c r="J9" s="34"/>
    </row>
    <row r="10" spans="1:11" ht="47.25" customHeight="1">
      <c r="A10"/>
      <c r="C10" s="34"/>
      <c r="D10" s="110" t="s">
        <v>207</v>
      </c>
      <c r="E10" s="144" t="s">
        <v>218</v>
      </c>
      <c r="F10" s="144"/>
      <c r="G10" s="34"/>
      <c r="H10" s="34"/>
      <c r="I10" s="34"/>
      <c r="J10" s="34"/>
    </row>
    <row r="11" spans="1:11" ht="11.25" customHeight="1">
      <c r="A11"/>
      <c r="C11" s="34"/>
      <c r="D11" s="34"/>
      <c r="E11" s="34"/>
      <c r="F11" s="35"/>
      <c r="G11" s="34"/>
      <c r="H11" s="34"/>
      <c r="I11" s="34"/>
      <c r="J11" s="34"/>
    </row>
    <row r="12" spans="1:11" s="25" customFormat="1" ht="30.75" customHeight="1">
      <c r="A12"/>
      <c r="D12" s="32" t="s">
        <v>193</v>
      </c>
      <c r="F12" s="26"/>
    </row>
    <row r="13" spans="1:11" ht="15">
      <c r="A13"/>
      <c r="D13" s="27" t="s">
        <v>223</v>
      </c>
    </row>
    <row r="14" spans="1:11" ht="15">
      <c r="A14"/>
      <c r="E14" s="29" t="s">
        <v>92</v>
      </c>
      <c r="F14" s="30" t="s">
        <v>220</v>
      </c>
    </row>
    <row r="15" spans="1:11" ht="15">
      <c r="A15"/>
      <c r="E15" s="31" t="s">
        <v>93</v>
      </c>
      <c r="F15" s="28" t="s">
        <v>221</v>
      </c>
    </row>
    <row r="16" spans="1:11" ht="15">
      <c r="A16"/>
      <c r="E16" s="29" t="s">
        <v>94</v>
      </c>
      <c r="F16" s="30" t="s">
        <v>222</v>
      </c>
    </row>
    <row r="17" spans="1:11" ht="43.5">
      <c r="A17"/>
      <c r="B17"/>
      <c r="E17" s="31" t="s">
        <v>96</v>
      </c>
      <c r="F17" s="28" t="s">
        <v>210</v>
      </c>
      <c r="K17"/>
    </row>
    <row r="18" spans="1:11" ht="29.25">
      <c r="A18"/>
      <c r="B18"/>
      <c r="E18" s="29" t="s">
        <v>95</v>
      </c>
      <c r="F18" s="30" t="s">
        <v>211</v>
      </c>
      <c r="K18"/>
    </row>
    <row r="19" spans="1:11" ht="15">
      <c r="A19"/>
      <c r="B19"/>
      <c r="C19"/>
      <c r="D19"/>
      <c r="E19"/>
      <c r="F19"/>
      <c r="G19"/>
      <c r="H19"/>
      <c r="I19"/>
      <c r="J19"/>
      <c r="K19"/>
    </row>
    <row r="20" spans="1:11" ht="26.25" customHeight="1">
      <c r="A20"/>
      <c r="B20"/>
      <c r="C20" s="34"/>
      <c r="D20" s="33" t="s">
        <v>99</v>
      </c>
      <c r="E20" s="34"/>
      <c r="F20" s="35"/>
      <c r="G20" s="34"/>
      <c r="H20" s="34"/>
      <c r="I20" s="34"/>
      <c r="J20" s="34"/>
      <c r="K20"/>
    </row>
    <row r="21" spans="1:11" ht="30" customHeight="1">
      <c r="A21"/>
      <c r="B21"/>
      <c r="C21" s="34"/>
      <c r="D21" s="144" t="s">
        <v>97</v>
      </c>
      <c r="E21" s="144"/>
      <c r="F21" s="144"/>
      <c r="G21" s="34"/>
      <c r="H21" s="34"/>
      <c r="I21" s="34"/>
      <c r="J21" s="34"/>
      <c r="K21"/>
    </row>
    <row r="22" spans="1:11" ht="12.75" customHeight="1">
      <c r="A22"/>
      <c r="B22"/>
      <c r="C22" s="34"/>
      <c r="D22" s="123"/>
      <c r="E22" s="123"/>
      <c r="F22" s="123"/>
      <c r="G22" s="34"/>
      <c r="H22" s="34"/>
      <c r="I22" s="34"/>
      <c r="J22" s="34"/>
      <c r="K22"/>
    </row>
    <row r="23" spans="1:11" ht="32.25" customHeight="1">
      <c r="A23"/>
      <c r="B23"/>
      <c r="C23" s="34"/>
      <c r="D23" s="146" t="s">
        <v>224</v>
      </c>
      <c r="E23" s="146"/>
      <c r="F23" s="146"/>
      <c r="G23" s="34"/>
      <c r="H23" s="34"/>
      <c r="I23" s="34"/>
      <c r="J23" s="34"/>
      <c r="K23"/>
    </row>
    <row r="24" spans="1:11" ht="10.5" customHeight="1">
      <c r="A24"/>
      <c r="B24"/>
      <c r="C24" s="34"/>
      <c r="D24" s="123"/>
      <c r="E24" s="123"/>
      <c r="F24" s="123"/>
      <c r="G24" s="34"/>
      <c r="H24" s="34"/>
      <c r="I24" s="34"/>
      <c r="J24" s="34"/>
      <c r="K24"/>
    </row>
    <row r="25" spans="1:11" ht="32.25" customHeight="1">
      <c r="A25"/>
      <c r="B25"/>
      <c r="C25" s="34"/>
      <c r="D25" s="144" t="s">
        <v>98</v>
      </c>
      <c r="E25" s="144"/>
      <c r="F25" s="35"/>
      <c r="G25" s="34"/>
      <c r="H25" s="34"/>
      <c r="I25" s="34"/>
      <c r="J25" s="34"/>
      <c r="K25"/>
    </row>
    <row r="26" spans="1:11" ht="14.25" customHeight="1">
      <c r="A26"/>
      <c r="B26"/>
      <c r="C26" s="34"/>
      <c r="D26" s="35"/>
      <c r="E26" s="35"/>
      <c r="F26" s="35"/>
      <c r="G26" s="34"/>
      <c r="H26" s="34"/>
      <c r="I26" s="34"/>
      <c r="J26" s="34"/>
      <c r="K26"/>
    </row>
    <row r="27" spans="1:11" ht="57.75" customHeight="1">
      <c r="A27"/>
      <c r="B27"/>
      <c r="C27" s="34"/>
      <c r="D27" s="145" t="s">
        <v>225</v>
      </c>
      <c r="E27" s="145"/>
      <c r="F27" s="35"/>
      <c r="G27" s="34"/>
      <c r="H27" s="34"/>
      <c r="I27" s="34"/>
      <c r="J27" s="34"/>
      <c r="K27"/>
    </row>
    <row r="28" spans="1:11" ht="16.5" customHeight="1">
      <c r="A28"/>
      <c r="B28"/>
      <c r="C28" s="34"/>
      <c r="D28" s="124"/>
      <c r="E28" s="124"/>
      <c r="F28" s="35"/>
      <c r="G28" s="34"/>
      <c r="H28" s="34"/>
      <c r="I28" s="34"/>
      <c r="J28" s="34"/>
      <c r="K28"/>
    </row>
    <row r="29" spans="1:11" ht="29.25" customHeight="1">
      <c r="A29"/>
      <c r="B29"/>
      <c r="C29" s="34"/>
      <c r="D29" s="145" t="s">
        <v>215</v>
      </c>
      <c r="E29" s="145"/>
      <c r="F29" s="145"/>
      <c r="G29" s="34"/>
      <c r="H29" s="34"/>
      <c r="I29" s="34"/>
      <c r="J29" s="34"/>
      <c r="K29"/>
    </row>
    <row r="30" spans="1:11" ht="15">
      <c r="A30"/>
      <c r="B30"/>
      <c r="C30" s="34"/>
      <c r="D30" s="34"/>
      <c r="E30" s="34"/>
      <c r="F30" s="35"/>
      <c r="G30" s="34"/>
      <c r="H30" s="34"/>
      <c r="I30" s="34"/>
      <c r="J30" s="34"/>
      <c r="K30"/>
    </row>
    <row r="31" spans="1:11" ht="15.75">
      <c r="A31"/>
      <c r="B31"/>
      <c r="C31" s="34"/>
      <c r="D31" s="36" t="s">
        <v>101</v>
      </c>
      <c r="E31" s="34"/>
      <c r="F31" s="35"/>
      <c r="G31" s="34"/>
      <c r="H31" s="34"/>
      <c r="I31" s="34"/>
      <c r="J31" s="34"/>
      <c r="K31"/>
    </row>
    <row r="32" spans="1:11" ht="30.75" customHeight="1">
      <c r="A32"/>
      <c r="B32"/>
      <c r="C32" s="34"/>
      <c r="D32" s="144" t="s">
        <v>100</v>
      </c>
      <c r="E32" s="144"/>
      <c r="F32" s="144"/>
      <c r="G32" s="34"/>
      <c r="H32" s="34"/>
      <c r="I32" s="34"/>
      <c r="J32" s="34"/>
      <c r="K32"/>
    </row>
    <row r="33" spans="1:11" ht="15">
      <c r="A33"/>
      <c r="B33"/>
      <c r="C33" s="34"/>
      <c r="D33" s="34"/>
      <c r="E33" s="34" t="s">
        <v>226</v>
      </c>
      <c r="F33" s="35"/>
      <c r="G33" s="34"/>
      <c r="H33" s="34"/>
      <c r="I33" s="34"/>
      <c r="J33" s="34"/>
      <c r="K33"/>
    </row>
    <row r="34" spans="1:11" ht="15">
      <c r="A34"/>
      <c r="B34"/>
      <c r="C34" s="34"/>
      <c r="D34" s="34"/>
      <c r="E34" s="34" t="s">
        <v>228</v>
      </c>
      <c r="F34" s="35"/>
      <c r="G34" s="34"/>
      <c r="H34" s="34"/>
      <c r="I34" s="34"/>
      <c r="J34" s="34"/>
      <c r="K34"/>
    </row>
    <row r="35" spans="1:11" ht="15">
      <c r="A35"/>
      <c r="B35"/>
      <c r="C35" s="34"/>
      <c r="D35" s="34"/>
      <c r="E35" s="34" t="s">
        <v>227</v>
      </c>
      <c r="F35" s="35"/>
      <c r="G35" s="34"/>
      <c r="H35" s="34"/>
      <c r="I35" s="34"/>
      <c r="J35" s="34"/>
      <c r="K35"/>
    </row>
    <row r="36" spans="1:11" ht="15">
      <c r="A36"/>
      <c r="B36"/>
      <c r="C36" s="34"/>
      <c r="D36" s="34" t="s">
        <v>212</v>
      </c>
      <c r="E36" s="34"/>
      <c r="F36" s="35"/>
      <c r="G36" s="34"/>
      <c r="H36" s="34"/>
      <c r="I36" s="34"/>
      <c r="J36" s="34"/>
      <c r="K36"/>
    </row>
    <row r="37" spans="1:11" ht="15">
      <c r="A37"/>
      <c r="B37"/>
      <c r="C37" s="34"/>
      <c r="D37" s="34"/>
      <c r="E37" s="34"/>
      <c r="F37" s="35"/>
      <c r="G37" s="34"/>
      <c r="H37" s="34"/>
      <c r="I37" s="34"/>
      <c r="J37" s="34"/>
      <c r="K37"/>
    </row>
    <row r="38" spans="1:11" ht="15.75">
      <c r="A38"/>
      <c r="B38"/>
      <c r="C38" s="34"/>
      <c r="D38" s="36" t="s">
        <v>213</v>
      </c>
      <c r="E38" s="34"/>
      <c r="F38" s="35"/>
      <c r="G38" s="34"/>
      <c r="H38" s="34"/>
      <c r="I38" s="34"/>
      <c r="J38" s="34"/>
      <c r="K38"/>
    </row>
    <row r="39" spans="1:11" ht="45" customHeight="1">
      <c r="A39"/>
      <c r="B39"/>
      <c r="C39" s="34"/>
      <c r="D39" s="144" t="s">
        <v>216</v>
      </c>
      <c r="E39" s="144"/>
      <c r="F39" s="144"/>
      <c r="G39" s="34"/>
      <c r="H39" s="34"/>
      <c r="I39" s="34"/>
      <c r="J39" s="34"/>
      <c r="K39"/>
    </row>
    <row r="40" spans="1:11" ht="15">
      <c r="A40"/>
      <c r="B40"/>
      <c r="C40" s="34"/>
      <c r="D40" s="34"/>
      <c r="E40" s="34"/>
      <c r="F40" s="35"/>
      <c r="G40" s="34"/>
      <c r="H40" s="34"/>
      <c r="I40" s="34"/>
      <c r="J40" s="34"/>
      <c r="K40"/>
    </row>
    <row r="41" spans="1:11" ht="89.25" customHeight="1">
      <c r="A41"/>
      <c r="B41"/>
      <c r="C41" s="34"/>
      <c r="D41" s="144" t="s">
        <v>231</v>
      </c>
      <c r="E41" s="144"/>
      <c r="F41" s="144"/>
      <c r="G41" s="34"/>
      <c r="H41" s="34"/>
      <c r="I41" s="34"/>
      <c r="J41" s="34"/>
      <c r="K41"/>
    </row>
    <row r="42" spans="1:11" ht="15">
      <c r="A42"/>
      <c r="B42"/>
      <c r="C42" s="34"/>
      <c r="D42" s="34"/>
      <c r="E42" s="34"/>
      <c r="F42" s="35"/>
      <c r="G42" s="34"/>
      <c r="H42" s="34"/>
      <c r="I42" s="34"/>
      <c r="J42" s="34"/>
      <c r="K42"/>
    </row>
    <row r="43" spans="1:11" ht="30" customHeight="1">
      <c r="A43"/>
      <c r="B43"/>
      <c r="C43" s="34"/>
      <c r="D43" s="144"/>
      <c r="E43" s="144"/>
      <c r="F43" s="144"/>
      <c r="G43" s="34"/>
      <c r="H43" s="34"/>
      <c r="I43" s="34"/>
      <c r="J43" s="34"/>
      <c r="K43"/>
    </row>
    <row r="44" spans="1:11" ht="8.25" customHeight="1">
      <c r="A44"/>
      <c r="B44"/>
      <c r="C44" s="34"/>
      <c r="D44" s="34"/>
      <c r="E44" s="34"/>
      <c r="F44" s="35"/>
      <c r="G44" s="34"/>
      <c r="H44" s="34"/>
      <c r="I44" s="34"/>
      <c r="J44" s="34"/>
      <c r="K44"/>
    </row>
    <row r="45" spans="1:11" ht="15">
      <c r="A45"/>
      <c r="B45"/>
      <c r="C45"/>
      <c r="D45"/>
      <c r="E45"/>
      <c r="F45"/>
      <c r="G45"/>
      <c r="H45"/>
      <c r="I45"/>
      <c r="J45"/>
      <c r="K45"/>
    </row>
    <row r="46" spans="1:11" ht="20.25">
      <c r="A46"/>
      <c r="B46"/>
      <c r="D46" s="77" t="s">
        <v>96</v>
      </c>
      <c r="K46"/>
    </row>
    <row r="47" spans="1:11" ht="31.5" customHeight="1">
      <c r="A47"/>
      <c r="B47"/>
      <c r="D47" s="147" t="s">
        <v>229</v>
      </c>
      <c r="E47" s="147"/>
      <c r="F47" s="147"/>
      <c r="K47"/>
    </row>
    <row r="48" spans="1:11" ht="15">
      <c r="A48"/>
      <c r="B48"/>
      <c r="C48"/>
      <c r="D48"/>
      <c r="E48"/>
      <c r="F48"/>
      <c r="G48"/>
      <c r="H48"/>
      <c r="I48"/>
      <c r="J48"/>
      <c r="K48"/>
    </row>
    <row r="49" spans="1:11" ht="74.25" customHeight="1">
      <c r="A49"/>
      <c r="B49"/>
      <c r="D49" s="152" t="s">
        <v>214</v>
      </c>
      <c r="E49" s="152"/>
      <c r="K49"/>
    </row>
    <row r="50" spans="1:11" ht="15">
      <c r="A50"/>
      <c r="B50"/>
      <c r="C50"/>
      <c r="D50"/>
      <c r="E50"/>
      <c r="F50"/>
      <c r="G50"/>
      <c r="H50"/>
      <c r="I50"/>
      <c r="J50"/>
      <c r="K50"/>
    </row>
    <row r="51" spans="1:11" ht="14.25" customHeight="1">
      <c r="A51"/>
      <c r="B51"/>
      <c r="D51" s="147" t="s">
        <v>152</v>
      </c>
      <c r="E51" s="147"/>
      <c r="K51"/>
    </row>
    <row r="52" spans="1:11" ht="7.5" customHeight="1">
      <c r="A52"/>
      <c r="B52"/>
      <c r="D52" s="125"/>
      <c r="E52" s="125"/>
      <c r="K52"/>
    </row>
    <row r="53" spans="1:11" ht="15">
      <c r="A53"/>
      <c r="B53"/>
      <c r="E53" s="78" t="s">
        <v>153</v>
      </c>
      <c r="K53"/>
    </row>
    <row r="54" spans="1:11" ht="15">
      <c r="A54"/>
      <c r="B54"/>
      <c r="E54" s="79" t="s">
        <v>154</v>
      </c>
      <c r="K54"/>
    </row>
    <row r="55" spans="1:11" ht="15">
      <c r="A55"/>
      <c r="B55"/>
      <c r="E55" s="80" t="s">
        <v>155</v>
      </c>
      <c r="K55"/>
    </row>
    <row r="56" spans="1:11" ht="15">
      <c r="A56"/>
      <c r="B56"/>
      <c r="E56" s="81" t="s">
        <v>156</v>
      </c>
      <c r="K56"/>
    </row>
    <row r="57" spans="1:11" ht="15">
      <c r="A57"/>
      <c r="B57"/>
      <c r="C57"/>
      <c r="D57"/>
      <c r="E57"/>
      <c r="F57"/>
      <c r="G57"/>
      <c r="H57"/>
      <c r="I57"/>
      <c r="J57"/>
      <c r="K57"/>
    </row>
    <row r="58" spans="1:11" ht="15">
      <c r="A58"/>
      <c r="B58"/>
      <c r="D58" s="151"/>
      <c r="E58" s="151"/>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28.5" customHeight="1">
      <c r="A64"/>
      <c r="B64"/>
      <c r="C64" s="34"/>
      <c r="D64" s="33" t="s">
        <v>157</v>
      </c>
      <c r="E64" s="34"/>
      <c r="F64" s="34"/>
      <c r="G64" s="35"/>
      <c r="H64" s="34"/>
      <c r="I64" s="34"/>
      <c r="J64" s="34"/>
      <c r="K64" s="34"/>
    </row>
    <row r="65" spans="1:11" ht="15">
      <c r="A65"/>
      <c r="B65"/>
      <c r="C65" s="34"/>
      <c r="D65" s="149" t="s">
        <v>172</v>
      </c>
      <c r="E65" s="149"/>
      <c r="F65" s="149"/>
      <c r="G65" s="149"/>
      <c r="H65" s="149"/>
      <c r="I65" s="149"/>
      <c r="J65" s="34"/>
      <c r="K65" s="34"/>
    </row>
    <row r="66" spans="1:11" ht="15">
      <c r="A66"/>
      <c r="B66"/>
      <c r="C66" s="34"/>
      <c r="D66" s="122"/>
      <c r="E66" s="122"/>
      <c r="F66" s="122"/>
      <c r="G66" s="122"/>
      <c r="H66" s="122"/>
      <c r="I66" s="122"/>
      <c r="J66" s="34"/>
      <c r="K66" s="34"/>
    </row>
    <row r="67" spans="1:11" ht="109.5" customHeight="1">
      <c r="A67"/>
      <c r="B67"/>
      <c r="C67" s="34"/>
      <c r="D67" s="144" t="s">
        <v>230</v>
      </c>
      <c r="E67" s="144"/>
      <c r="F67" s="144"/>
      <c r="G67" s="122"/>
      <c r="H67" s="122"/>
      <c r="I67" s="122"/>
      <c r="J67" s="34"/>
      <c r="K67" s="34"/>
    </row>
    <row r="68" spans="1:11" ht="15">
      <c r="A68"/>
      <c r="B68"/>
      <c r="C68" s="34"/>
      <c r="D68" s="122"/>
      <c r="E68" s="122"/>
      <c r="F68" s="122"/>
      <c r="G68" s="122"/>
      <c r="H68" s="122"/>
      <c r="I68" s="122"/>
      <c r="J68" s="34"/>
      <c r="K68" s="34"/>
    </row>
    <row r="69" spans="1:11" ht="15">
      <c r="A69"/>
      <c r="B69"/>
      <c r="C69" s="34"/>
      <c r="D69" s="149" t="s">
        <v>170</v>
      </c>
      <c r="E69" s="149"/>
      <c r="F69" s="149"/>
      <c r="G69" s="149"/>
      <c r="H69" s="149"/>
      <c r="I69" s="149"/>
      <c r="J69" s="34"/>
      <c r="K69" s="34"/>
    </row>
    <row r="70" spans="1:11" ht="15">
      <c r="A70"/>
      <c r="B70"/>
      <c r="C70" s="34"/>
      <c r="D70" s="122"/>
      <c r="E70" s="122" t="s">
        <v>166</v>
      </c>
      <c r="F70" s="122"/>
      <c r="G70" s="122"/>
      <c r="H70" s="122"/>
      <c r="I70" s="122"/>
      <c r="J70" s="34"/>
      <c r="K70" s="34"/>
    </row>
    <row r="71" spans="1:11" ht="15">
      <c r="A71"/>
      <c r="B71"/>
      <c r="C71" s="34"/>
      <c r="D71" s="122"/>
      <c r="E71" s="122" t="s">
        <v>167</v>
      </c>
      <c r="F71" s="122"/>
      <c r="G71" s="122"/>
      <c r="H71" s="122"/>
      <c r="I71" s="122"/>
      <c r="J71" s="34"/>
      <c r="K71" s="34"/>
    </row>
    <row r="72" spans="1:11" ht="15">
      <c r="A72"/>
      <c r="B72"/>
      <c r="C72" s="34"/>
      <c r="D72" s="122"/>
      <c r="E72" s="122" t="s">
        <v>168</v>
      </c>
      <c r="F72" s="122"/>
      <c r="G72" s="122"/>
      <c r="H72" s="122"/>
      <c r="I72" s="122"/>
      <c r="J72" s="34"/>
      <c r="K72" s="34"/>
    </row>
    <row r="73" spans="1:11" ht="15">
      <c r="A73"/>
      <c r="B73"/>
      <c r="C73" s="34"/>
      <c r="D73" s="122"/>
      <c r="E73" s="122" t="s">
        <v>169</v>
      </c>
      <c r="F73" s="122"/>
      <c r="G73" s="122"/>
      <c r="H73" s="122"/>
      <c r="I73" s="122"/>
      <c r="J73" s="34"/>
      <c r="K73" s="34"/>
    </row>
    <row r="74" spans="1:11" ht="15">
      <c r="A74"/>
      <c r="B74"/>
      <c r="C74" s="34"/>
      <c r="D74" s="34"/>
      <c r="E74" s="34"/>
      <c r="F74" s="35"/>
      <c r="G74" s="34"/>
      <c r="H74" s="34"/>
      <c r="I74" s="34"/>
      <c r="J74" s="34"/>
      <c r="K74" s="34"/>
    </row>
    <row r="75" spans="1:11" ht="15.75">
      <c r="A75"/>
      <c r="B75"/>
      <c r="C75" s="34"/>
      <c r="D75" s="34"/>
      <c r="E75" s="36" t="s">
        <v>158</v>
      </c>
      <c r="F75" s="35"/>
      <c r="G75" s="34"/>
      <c r="H75" s="34"/>
      <c r="I75" s="34"/>
      <c r="J75" s="34"/>
      <c r="K75" s="34"/>
    </row>
    <row r="76" spans="1:11" ht="14.25" customHeight="1">
      <c r="A76"/>
      <c r="B76"/>
      <c r="C76" s="34"/>
      <c r="D76" s="34"/>
      <c r="E76" s="29" t="s">
        <v>0</v>
      </c>
      <c r="F76" s="148" t="s">
        <v>247</v>
      </c>
      <c r="G76" s="148"/>
      <c r="H76" s="148"/>
      <c r="I76" s="148"/>
      <c r="J76" s="34"/>
      <c r="K76" s="34"/>
    </row>
    <row r="77" spans="1:11" ht="30.75" customHeight="1">
      <c r="A77"/>
      <c r="B77"/>
      <c r="C77" s="34"/>
      <c r="D77" s="34"/>
      <c r="E77" s="132" t="s">
        <v>159</v>
      </c>
      <c r="F77" s="150" t="s">
        <v>248</v>
      </c>
      <c r="G77" s="150"/>
      <c r="H77" s="150"/>
      <c r="I77" s="150"/>
      <c r="J77" s="34"/>
      <c r="K77" s="34"/>
    </row>
    <row r="78" spans="1:11" ht="29.25" customHeight="1">
      <c r="A78"/>
      <c r="B78"/>
      <c r="C78" s="34"/>
      <c r="D78" s="34"/>
      <c r="E78" s="29" t="s">
        <v>161</v>
      </c>
      <c r="F78" s="148" t="s">
        <v>162</v>
      </c>
      <c r="G78" s="148"/>
      <c r="H78" s="148"/>
      <c r="I78" s="148"/>
      <c r="J78" s="34"/>
      <c r="K78" s="34"/>
    </row>
    <row r="79" spans="1:11" ht="59.25" customHeight="1">
      <c r="A79"/>
      <c r="B79"/>
      <c r="C79" s="34"/>
      <c r="D79" s="34"/>
      <c r="E79" s="132" t="s">
        <v>163</v>
      </c>
      <c r="F79" s="150" t="s">
        <v>234</v>
      </c>
      <c r="G79" s="150"/>
      <c r="H79" s="150"/>
      <c r="I79" s="150"/>
      <c r="J79" s="34"/>
      <c r="K79" s="34"/>
    </row>
    <row r="80" spans="1:11" ht="16.5" customHeight="1">
      <c r="A80"/>
      <c r="B80"/>
      <c r="C80" s="34"/>
      <c r="D80" s="34"/>
      <c r="E80" s="82"/>
      <c r="F80" s="75"/>
      <c r="G80" s="82"/>
      <c r="H80" s="82"/>
      <c r="I80" s="82"/>
      <c r="J80" s="34"/>
      <c r="K80" s="34"/>
    </row>
    <row r="81" spans="1:11" ht="15">
      <c r="A81"/>
      <c r="B81"/>
      <c r="C81" s="34"/>
      <c r="D81" s="34"/>
      <c r="E81" s="83" t="s">
        <v>164</v>
      </c>
      <c r="F81" s="75"/>
      <c r="G81" s="82"/>
      <c r="H81" s="82"/>
      <c r="I81" s="82"/>
      <c r="J81" s="34"/>
      <c r="K81" s="34"/>
    </row>
    <row r="82" spans="1:11" ht="48" customHeight="1">
      <c r="A82"/>
      <c r="B82"/>
      <c r="C82" s="34"/>
      <c r="D82" s="34"/>
      <c r="E82" s="29" t="s">
        <v>0</v>
      </c>
      <c r="F82" s="148" t="s">
        <v>245</v>
      </c>
      <c r="G82" s="148"/>
      <c r="H82" s="148"/>
      <c r="I82" s="148"/>
      <c r="J82" s="34"/>
      <c r="K82" s="34"/>
    </row>
    <row r="83" spans="1:11" ht="16.5" customHeight="1">
      <c r="A83"/>
      <c r="B83"/>
      <c r="C83" s="34"/>
      <c r="D83" s="34"/>
      <c r="E83" s="82"/>
      <c r="F83" s="82"/>
      <c r="G83" s="82"/>
      <c r="H83" s="82"/>
      <c r="I83" s="82"/>
      <c r="J83" s="34"/>
      <c r="K83" s="34"/>
    </row>
    <row r="84" spans="1:11" ht="16.5" customHeight="1">
      <c r="A84"/>
      <c r="B84"/>
      <c r="C84" s="34"/>
      <c r="D84" s="34"/>
      <c r="E84" s="83" t="s">
        <v>165</v>
      </c>
      <c r="F84" s="82"/>
      <c r="G84" s="82"/>
      <c r="H84" s="82"/>
      <c r="I84" s="82"/>
      <c r="J84" s="34"/>
      <c r="K84" s="34"/>
    </row>
    <row r="85" spans="1:11" ht="48" customHeight="1">
      <c r="A85"/>
      <c r="B85"/>
      <c r="C85" s="34"/>
      <c r="D85" s="34"/>
      <c r="E85" s="29" t="s">
        <v>0</v>
      </c>
      <c r="F85" s="148" t="s">
        <v>246</v>
      </c>
      <c r="G85" s="148"/>
      <c r="H85" s="148"/>
      <c r="I85" s="148"/>
      <c r="J85" s="34"/>
      <c r="K85" s="34"/>
    </row>
    <row r="86" spans="1:11" ht="17.25" customHeight="1">
      <c r="A86"/>
      <c r="B86"/>
      <c r="C86" s="34"/>
      <c r="D86" s="34"/>
      <c r="E86" s="34"/>
      <c r="F86" s="35"/>
      <c r="G86" s="34"/>
      <c r="H86" s="34"/>
      <c r="I86" s="34"/>
      <c r="J86" s="34"/>
      <c r="K86" s="34"/>
    </row>
    <row r="87" spans="1:11" ht="23.25" customHeight="1"/>
  </sheetData>
  <sheetProtection sheet="1" objects="1" scenarios="1" selectLockedCells="1" selectUnlockedCells="1"/>
  <mergeCells count="29">
    <mergeCell ref="D67:F67"/>
    <mergeCell ref="D41:F41"/>
    <mergeCell ref="D39:F39"/>
    <mergeCell ref="D51:E51"/>
    <mergeCell ref="F85:I85"/>
    <mergeCell ref="D69:I69"/>
    <mergeCell ref="F78:I78"/>
    <mergeCell ref="F79:I79"/>
    <mergeCell ref="F82:I82"/>
    <mergeCell ref="F76:I76"/>
    <mergeCell ref="F77:I77"/>
    <mergeCell ref="D65:I65"/>
    <mergeCell ref="D58:E58"/>
    <mergeCell ref="D47:F47"/>
    <mergeCell ref="D49:E49"/>
    <mergeCell ref="D43:F43"/>
    <mergeCell ref="D1:J1"/>
    <mergeCell ref="D4:F4"/>
    <mergeCell ref="D21:F21"/>
    <mergeCell ref="D25:E25"/>
    <mergeCell ref="D32:F32"/>
    <mergeCell ref="D27:E27"/>
    <mergeCell ref="D29:F29"/>
    <mergeCell ref="D23:F23"/>
    <mergeCell ref="D6:F6"/>
    <mergeCell ref="E7:F7"/>
    <mergeCell ref="E9:F9"/>
    <mergeCell ref="E8:F8"/>
    <mergeCell ref="E10:F10"/>
  </mergeCells>
  <pageMargins left="0.7" right="0.7" top="0.75" bottom="0.75" header="0.3" footer="0.3"/>
  <pageSetup paperSize="8" orientation="landscape" r:id="rId1"/>
  <headerFooter>
    <oddHeader xml:space="preserve">&amp;C&amp;"arial,Regular"&amp;12&amp;KA80000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4"/>
  <sheetViews>
    <sheetView showGridLines="0" tabSelected="1" zoomScaleNormal="100" workbookViewId="0">
      <pane ySplit="3" topLeftCell="A4" activePane="bottomLeft" state="frozen"/>
      <selection pane="bottomLeft" activeCell="A4" sqref="A4"/>
    </sheetView>
  </sheetViews>
  <sheetFormatPr defaultRowHeight="15.75"/>
  <cols>
    <col min="1" max="1" width="13" style="11" customWidth="1"/>
    <col min="2" max="2" width="13.140625" style="105" customWidth="1"/>
    <col min="3" max="3" width="13.7109375" style="105" customWidth="1"/>
    <col min="4" max="4" width="21.85546875" style="11" customWidth="1"/>
    <col min="5" max="5" width="30.42578125" style="85" customWidth="1"/>
    <col min="6" max="6" width="35.28515625" style="74" customWidth="1"/>
    <col min="7" max="7" width="13.5703125" style="11" customWidth="1"/>
    <col min="8" max="8" width="12.7109375" style="11" customWidth="1"/>
    <col min="9" max="9" width="10.28515625" style="11" customWidth="1"/>
    <col min="10" max="10" width="31.42578125" style="11" customWidth="1"/>
    <col min="11" max="11" width="13.140625" style="11" customWidth="1"/>
    <col min="12" max="13" width="12.28515625" style="11" customWidth="1"/>
    <col min="14" max="14" width="31.42578125" style="11" customWidth="1"/>
    <col min="15" max="15" width="17" style="11" customWidth="1"/>
    <col min="16" max="16" width="17.5703125" style="11" customWidth="1"/>
    <col min="17" max="17" width="16.85546875" style="11" customWidth="1"/>
    <col min="18" max="18" width="23.140625" style="11" customWidth="1"/>
    <col min="19" max="19" width="14" style="11" hidden="1" customWidth="1"/>
    <col min="20" max="21" width="6.28515625" style="11" customWidth="1"/>
    <col min="22" max="22" width="8.42578125" style="11" customWidth="1"/>
    <col min="23" max="23" width="6.42578125" style="11" customWidth="1"/>
    <col min="24" max="24" width="6.140625" style="11" customWidth="1"/>
    <col min="25" max="25" width="6" style="11" customWidth="1"/>
    <col min="26" max="26" width="7.85546875" style="11" customWidth="1"/>
    <col min="27" max="27" width="12" style="11" customWidth="1"/>
    <col min="28" max="28" width="9" style="11" customWidth="1"/>
    <col min="29" max="37" width="4.42578125" style="11" customWidth="1"/>
    <col min="38" max="47" width="5.7109375" style="11" customWidth="1"/>
    <col min="48" max="48" width="40.7109375" style="11" customWidth="1"/>
    <col min="49" max="49" width="15" style="85" customWidth="1"/>
    <col min="50" max="50" width="12.28515625" style="11" customWidth="1"/>
    <col min="51" max="16384" width="9.140625" style="11"/>
  </cols>
  <sheetData>
    <row r="1" spans="1:50" s="14" customFormat="1" ht="15.75" customHeight="1">
      <c r="A1" s="153" t="s">
        <v>239</v>
      </c>
      <c r="B1" s="153"/>
      <c r="C1" s="153"/>
      <c r="D1" s="153"/>
      <c r="E1" s="153"/>
      <c r="F1" s="153"/>
      <c r="G1" s="153"/>
      <c r="H1" s="153"/>
      <c r="I1" s="153"/>
      <c r="J1" s="153"/>
      <c r="K1" s="155" t="s">
        <v>187</v>
      </c>
      <c r="L1" s="155"/>
      <c r="M1" s="155"/>
      <c r="N1" s="155"/>
      <c r="O1" s="153" t="s">
        <v>1</v>
      </c>
      <c r="P1" s="153"/>
      <c r="Q1" s="153"/>
      <c r="R1" s="153"/>
      <c r="S1" s="133"/>
      <c r="T1" s="155" t="s">
        <v>176</v>
      </c>
      <c r="U1" s="155"/>
      <c r="V1" s="155"/>
      <c r="W1" s="155"/>
      <c r="X1" s="155"/>
      <c r="Y1" s="155"/>
      <c r="Z1" s="155"/>
      <c r="AA1" s="155"/>
      <c r="AB1" s="155"/>
      <c r="AC1" s="153" t="s">
        <v>185</v>
      </c>
      <c r="AD1" s="154"/>
      <c r="AE1" s="154"/>
      <c r="AF1" s="154"/>
      <c r="AG1" s="154"/>
      <c r="AH1" s="154"/>
      <c r="AI1" s="154"/>
      <c r="AJ1" s="154"/>
      <c r="AK1" s="154"/>
      <c r="AL1" s="154"/>
      <c r="AM1" s="154"/>
      <c r="AN1" s="154"/>
      <c r="AO1" s="154"/>
      <c r="AP1" s="154"/>
      <c r="AQ1" s="154"/>
      <c r="AR1" s="154"/>
      <c r="AS1" s="154"/>
      <c r="AT1" s="154"/>
      <c r="AU1" s="154"/>
      <c r="AV1" s="155" t="s">
        <v>18</v>
      </c>
      <c r="AW1" s="155"/>
      <c r="AX1" s="155"/>
    </row>
    <row r="2" spans="1:50" s="15" customFormat="1" ht="18" customHeight="1">
      <c r="A2" s="153"/>
      <c r="B2" s="153"/>
      <c r="C2" s="153"/>
      <c r="D2" s="153"/>
      <c r="E2" s="153"/>
      <c r="F2" s="153"/>
      <c r="G2" s="153"/>
      <c r="H2" s="153"/>
      <c r="I2" s="153"/>
      <c r="J2" s="153"/>
      <c r="K2" s="155"/>
      <c r="L2" s="155"/>
      <c r="M2" s="155"/>
      <c r="N2" s="155"/>
      <c r="O2" s="153"/>
      <c r="P2" s="153"/>
      <c r="Q2" s="153"/>
      <c r="R2" s="153"/>
      <c r="S2" s="133"/>
      <c r="T2" s="155"/>
      <c r="U2" s="155"/>
      <c r="V2" s="155"/>
      <c r="W2" s="155"/>
      <c r="X2" s="155"/>
      <c r="Y2" s="155"/>
      <c r="Z2" s="155"/>
      <c r="AA2" s="155"/>
      <c r="AB2" s="155"/>
      <c r="AC2" s="154"/>
      <c r="AD2" s="154"/>
      <c r="AE2" s="154"/>
      <c r="AF2" s="154"/>
      <c r="AG2" s="154"/>
      <c r="AH2" s="154"/>
      <c r="AI2" s="154"/>
      <c r="AJ2" s="154"/>
      <c r="AK2" s="154"/>
      <c r="AL2" s="154"/>
      <c r="AM2" s="154"/>
      <c r="AN2" s="154"/>
      <c r="AO2" s="154"/>
      <c r="AP2" s="154"/>
      <c r="AQ2" s="154"/>
      <c r="AR2" s="154"/>
      <c r="AS2" s="154"/>
      <c r="AT2" s="154"/>
      <c r="AU2" s="154"/>
      <c r="AV2" s="155"/>
      <c r="AW2" s="155"/>
      <c r="AX2" s="155"/>
    </row>
    <row r="3" spans="1:50" s="13" customFormat="1" ht="57.75" customHeight="1">
      <c r="A3" s="84" t="s">
        <v>160</v>
      </c>
      <c r="B3" s="103" t="s">
        <v>89</v>
      </c>
      <c r="C3" s="56" t="s">
        <v>123</v>
      </c>
      <c r="D3" s="84" t="s">
        <v>151</v>
      </c>
      <c r="E3" s="67" t="s">
        <v>91</v>
      </c>
      <c r="F3" s="67" t="s">
        <v>90</v>
      </c>
      <c r="G3" s="67" t="s">
        <v>121</v>
      </c>
      <c r="H3" s="67" t="s">
        <v>122</v>
      </c>
      <c r="I3" s="52" t="s">
        <v>189</v>
      </c>
      <c r="J3" s="52" t="s">
        <v>119</v>
      </c>
      <c r="K3" s="12" t="s">
        <v>124</v>
      </c>
      <c r="L3" s="12" t="s">
        <v>128</v>
      </c>
      <c r="M3" s="12" t="s">
        <v>188</v>
      </c>
      <c r="N3" s="24" t="s">
        <v>120</v>
      </c>
      <c r="O3" s="56" t="s">
        <v>118</v>
      </c>
      <c r="P3" s="56" t="s">
        <v>125</v>
      </c>
      <c r="Q3" s="20" t="s">
        <v>70</v>
      </c>
      <c r="R3" s="21" t="s">
        <v>71</v>
      </c>
      <c r="S3" s="20" t="s">
        <v>233</v>
      </c>
      <c r="T3" s="61" t="s">
        <v>74</v>
      </c>
      <c r="U3" s="62" t="s">
        <v>75</v>
      </c>
      <c r="V3" s="62" t="s">
        <v>76</v>
      </c>
      <c r="W3" s="62" t="s">
        <v>77</v>
      </c>
      <c r="X3" s="62" t="s">
        <v>78</v>
      </c>
      <c r="Y3" s="141" t="s">
        <v>183</v>
      </c>
      <c r="Z3" s="62" t="s">
        <v>79</v>
      </c>
      <c r="AA3" s="62" t="s">
        <v>7</v>
      </c>
      <c r="AB3" s="63" t="s">
        <v>235</v>
      </c>
      <c r="AC3" s="64" t="s">
        <v>40</v>
      </c>
      <c r="AD3" s="65" t="s">
        <v>41</v>
      </c>
      <c r="AE3" s="65" t="s">
        <v>42</v>
      </c>
      <c r="AF3" s="65" t="s">
        <v>43</v>
      </c>
      <c r="AG3" s="65" t="s">
        <v>44</v>
      </c>
      <c r="AH3" s="65" t="s">
        <v>45</v>
      </c>
      <c r="AI3" s="65" t="s">
        <v>46</v>
      </c>
      <c r="AJ3" s="65" t="s">
        <v>47</v>
      </c>
      <c r="AK3" s="65" t="s">
        <v>48</v>
      </c>
      <c r="AL3" s="65" t="s">
        <v>49</v>
      </c>
      <c r="AM3" s="65" t="s">
        <v>50</v>
      </c>
      <c r="AN3" s="65" t="s">
        <v>51</v>
      </c>
      <c r="AO3" s="65" t="s">
        <v>52</v>
      </c>
      <c r="AP3" s="65" t="s">
        <v>53</v>
      </c>
      <c r="AQ3" s="65" t="s">
        <v>39</v>
      </c>
      <c r="AR3" s="65" t="s">
        <v>54</v>
      </c>
      <c r="AS3" s="65" t="s">
        <v>55</v>
      </c>
      <c r="AT3" s="65" t="s">
        <v>56</v>
      </c>
      <c r="AU3" s="66" t="s">
        <v>57</v>
      </c>
      <c r="AV3" s="12" t="s">
        <v>82</v>
      </c>
      <c r="AW3" s="111" t="s">
        <v>199</v>
      </c>
      <c r="AX3" s="111" t="s">
        <v>200</v>
      </c>
    </row>
    <row r="4" spans="1:50" s="9" customFormat="1" ht="12.75">
      <c r="A4" s="54" t="s">
        <v>186</v>
      </c>
      <c r="B4" s="104"/>
      <c r="C4" s="54"/>
      <c r="D4" s="54"/>
      <c r="E4" s="16"/>
      <c r="F4" s="16"/>
      <c r="G4" s="16"/>
      <c r="H4" s="16"/>
      <c r="I4" s="106" t="str">
        <f>IF((Table1[[#This Row],[Date received]])&gt;='Public Holidays and Fees'!$J$4,"Y","N")</f>
        <v>N</v>
      </c>
      <c r="J4" s="51" t="str">
        <f>IF(Table1[[#This Row],[Date received]]="","",(WORKDAY(Table1[[#This Row],[Date received]]+30-1,1,'Public Holidays and Fees'!$D$4:$D$47)))</f>
        <v/>
      </c>
      <c r="K4" s="54"/>
      <c r="L4" s="55"/>
      <c r="M4" s="55"/>
      <c r="N4" s="51" t="str">
        <f>IF(Table1[[#This Row],[Date received]]="","",(WORKDAY(Table1[[#This Row],[Due Date
(automatically calculated)]]+Table1[[#This Row],[Advance Deposit
(days clock stopped)]]+Table1[[#This Row],[Extension period (days)]]-1,1,'Public Holidays and Fees'!$D$4:$D$47)))</f>
        <v/>
      </c>
      <c r="O4" s="53"/>
      <c r="P4" s="54"/>
      <c r="Q4" s="23" t="str">
        <f>IF(Table1[[#This Row],[Determination/ Closed date]]="","",(IF((Table1[[#This Row],[Determination/ Closed date]]-Table1[[#This Row],[Date received]])&lt;=15,"0-15 days",IF((Table1[[#This Row],[Determination/ Closed date]]-Table1[[#This Row],[Date received]])&lt;=30,"16-30 days","&gt;30 days"))))</f>
        <v/>
      </c>
      <c r="R4" s="22" t="str">
        <f>IF(Table1[[#This Row],[Determination/ Closed date]]&lt;=Table1[[#This Row],[Due Date
(automatically calculated)]], "within timeframe", IF(Table1[[#This Row],[Determination/ Closed date]]&lt;=Table1[[#This Row],[New due date
(automatically calculated)]],"within extended timeframe", IF(Table1[[#This Row],[Determination/ Closed date]]&gt;Table1[[#This Row],[New due date
(automatically calculated)]],"outside of timeframe (deemed refusal)")))</f>
        <v>within timeframe</v>
      </c>
      <c r="S4" s="134" t="b">
        <f ca="1">IF(Table1[[#This Row],[New due date
(automatically calculated)]]&lt;TODAY(),"Y")</f>
        <v>0</v>
      </c>
      <c r="T4" s="10"/>
      <c r="U4" s="17"/>
      <c r="V4" s="17"/>
      <c r="W4" s="17"/>
      <c r="X4" s="17"/>
      <c r="Y4" s="142" t="str">
        <f>IF(COUNTIF(Table1[[#This Row],[1]:[19]],"&lt;&gt;")&gt;0,"Applied","")</f>
        <v/>
      </c>
      <c r="Z4" s="17"/>
      <c r="AA4" s="17"/>
      <c r="AB4" s="18"/>
      <c r="AC4" s="10"/>
      <c r="AD4" s="17"/>
      <c r="AE4" s="17"/>
      <c r="AF4" s="17"/>
      <c r="AG4" s="17"/>
      <c r="AH4" s="17"/>
      <c r="AI4" s="17"/>
      <c r="AJ4" s="17"/>
      <c r="AK4" s="17"/>
      <c r="AL4" s="17"/>
      <c r="AM4" s="17"/>
      <c r="AN4" s="17"/>
      <c r="AO4" s="17"/>
      <c r="AP4" s="17"/>
      <c r="AQ4" s="17"/>
      <c r="AR4" s="17"/>
      <c r="AS4" s="17"/>
      <c r="AT4" s="60"/>
      <c r="AU4" s="59"/>
      <c r="AV4" s="57"/>
      <c r="AW4" s="58"/>
      <c r="AX4" s="58"/>
    </row>
  </sheetData>
  <sheetProtection insertRows="0" selectLockedCells="1"/>
  <dataConsolidate/>
  <mergeCells count="8">
    <mergeCell ref="A1:E2"/>
    <mergeCell ref="AC1:AU2"/>
    <mergeCell ref="AV1:AX2"/>
    <mergeCell ref="J1:J2"/>
    <mergeCell ref="F1:I2"/>
    <mergeCell ref="K1:N2"/>
    <mergeCell ref="O1:R2"/>
    <mergeCell ref="T1:AB2"/>
  </mergeCells>
  <phoneticPr fontId="9" type="noConversion"/>
  <conditionalFormatting sqref="A4:AX4">
    <cfRule type="expression" dxfId="77" priority="2">
      <formula>$P4=""</formula>
    </cfRule>
  </conditionalFormatting>
  <dataValidations xWindow="1016" yWindow="395" count="16">
    <dataValidation type="list" allowBlank="1" showInputMessage="1" showErrorMessage="1" sqref="K4" xr:uid="{00000000-0002-0000-0100-000000000000}">
      <formula1>"14(a),14(b),14(a) &amp; (b),Negotiated"</formula1>
    </dataValidation>
    <dataValidation type="list" allowBlank="1" showInputMessage="1" showErrorMessage="1" errorTitle="Incorrect Entry" error="This cell will only accept the options below:_x000a__x000a_Granted in full_x000a_Granted in part_x000a_Refused_x000a_Withdrawn_x000a_Transferred in full_x000a_Deferred_x000a__x000a_Please select CANCEL and use the drop down arrow to the right of the cell to make your selection." sqref="P4" xr:uid="{00000000-0002-0000-0100-000001000000}">
      <formula1>"Full release,Partial release,Refused,Transferred in full,Withdrawn/closed"</formula1>
    </dataValidation>
    <dataValidation type="list" allowBlank="1" showInputMessage="1" errorTitle="Incorrect Entry" error="This cell will only accept the options below:_x000a__x000a_Member of Parliament_x000a_Financially disadvantaged_x000a_Other (discretion exercised)_x000a__x000a_Please select CANCEL and use the drop down arrow to the right of the cell to make your selection." sqref="AV4" xr:uid="{00000000-0002-0000-0100-000002000000}">
      <formula1>"Member of Parliament,Concession card holder,Financially disadvantaged,Other (discretion exercised)"</formula1>
    </dataValidation>
    <dataValidation allowBlank="1" showErrorMessage="1" promptTitle="WAIT!" prompt="This cell contains a predefined formula._x000a__x000a_If you have accidentally removed the formula, see the Table Formulas section of the Instructions tab for help." sqref="Q4:S4 N4 AW4" xr:uid="{00000000-0002-0000-0100-000003000000}"/>
    <dataValidation type="list" allowBlank="1" showInputMessage="1" showErrorMessage="1" sqref="T4:W4 Z4:AB4" xr:uid="{00000000-0002-0000-0100-000004000000}">
      <formula1>"Applied"</formula1>
    </dataValidation>
    <dataValidation showInputMessage="1" showErrorMessage="1" errorTitle="Incorrect Entry" error="This cell will only accept the following options:_x000a__x000a_Personal_x000a_Other_x000a__x000a_Please select CANCEL and use the drop down arrow to the right of the cell to make your selection." sqref="E4" xr:uid="{00000000-0002-0000-0100-000005000000}"/>
    <dataValidation type="list" showErrorMessage="1" errorTitle="Incorrect Entry" error="This cell will only accept the following options:_x000a__x000a_Personal_x000a_Other_x000a__x000a_Please select CANCEL and use the drop down arrow to the right of the cell to make your selection." sqref="C4" xr:uid="{00000000-0002-0000-0100-000006000000}">
      <formula1>"Personal,Non-personal"</formula1>
    </dataValidation>
    <dataValidation type="list" showInputMessage="1" showErrorMessage="1" errorTitle="Incorrect Entry" error="This cell will only accept the following options:_x000a__x000a_Personal_x000a_Other_x000a__x000a_Please select CANCEL and use the drop down arrow to the right of the cell to make your selection." sqref="D4" xr:uid="{00000000-0002-0000-0100-000007000000}">
      <formula1>"Public,Lawyer / Agent,Media,Member of Parliament"</formula1>
    </dataValidation>
    <dataValidation allowBlank="1" showInputMessage="1" promptTitle="WAIT!" prompt="This cell contains a predefined formula._x000a__x000a_If you have accidentally removed the formula, see the Table Formulas section of the Instructions tab for help." sqref="J4" xr:uid="{00000000-0002-0000-0100-000008000000}"/>
    <dataValidation type="textLength" operator="greaterThan" showInputMessage="1" showErrorMessage="1" errorTitle="ERROR" error="This cell is mandatory and must have a value._x000a__x000a_Please select CANCEL to continue." promptTitle="MANDATORY CELL" sqref="A4" xr:uid="{00000000-0002-0000-0100-000009000000}">
      <formula1>0</formula1>
    </dataValidation>
    <dataValidation type="custom" showInputMessage="1" showErrorMessage="1" errorTitle="ERROR" error="You cannot enter a future date in this field._x000a__x000a_Please press CANCEL to complete entry." promptTitle="WARNING!" prompt="Excel does not recognise dates separated with dots, (eg. 01.01.2022)._x000a__x000a_Please avoid using this format." sqref="B4" xr:uid="{00000000-0002-0000-0100-00000A000000}">
      <formula1>B4&lt;=TODAY()+1</formula1>
    </dataValidation>
    <dataValidation type="date" allowBlank="1" showInputMessage="1" showErrorMessage="1" errorTitle="ERROR" error="You cannot enter a date before the Date Received or a future date in this field._x000a__x000a_Please press CANCEL to complete entry." promptTitle="WARNING!" prompt="Excel does not recognise dates separated with dots, (eg. 01.01.2022)._x000a__x000a_Please avoid using this format." sqref="O4" xr:uid="{00000000-0002-0000-0100-00000B000000}">
      <formula1>B4</formula1>
      <formula2>TODAY()</formula2>
    </dataValidation>
    <dataValidation showErrorMessage="1" errorTitle="ERROR" error="This field is mandatory and requires the entry of a date._x000a__x000a_Please press CANCEL to complete entry." sqref="I4" xr:uid="{00000000-0002-0000-0100-00000C000000}"/>
    <dataValidation type="custom" allowBlank="1" showInputMessage="1" showErrorMessage="1" sqref="A3" xr:uid="{00000000-0002-0000-0100-00000F000000}">
      <formula1>A3="App ID / Ref #"</formula1>
    </dataValidation>
    <dataValidation type="custom" allowBlank="1" showInputMessage="1" showErrorMessage="1" sqref="B3" xr:uid="{00000000-0002-0000-0100-000010000000}">
      <formula1>B3="Date received"</formula1>
    </dataValidation>
    <dataValidation type="list" allowBlank="1" showInputMessage="1" showErrorMessage="1" prompt="Section 19(2) only requires reporting if the application was not processed after the legislated timeframe has passed (including extensions)." sqref="X4" xr:uid="{00000000-0002-0000-0100-000011000000}">
      <formula1>"Applied"</formula1>
    </dataValidation>
  </dataValidations>
  <pageMargins left="0.7" right="0.7" top="0.75" bottom="0.75" header="0.3" footer="0.3"/>
  <pageSetup paperSize="9" orientation="portrait" r:id="rId1"/>
  <headerFooter>
    <oddHeader>&amp;C&amp;"arial"&amp;12&amp;KA80000 OFFICIAL: Sensitive&amp;1#_x000D_</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
  <sheetViews>
    <sheetView showGridLines="0" workbookViewId="0">
      <pane ySplit="3" topLeftCell="A4" activePane="bottomLeft" state="frozen"/>
      <selection pane="bottomLeft" activeCell="A4" sqref="A4"/>
    </sheetView>
  </sheetViews>
  <sheetFormatPr defaultRowHeight="15.75"/>
  <cols>
    <col min="1" max="1" width="12.28515625" style="72" customWidth="1"/>
    <col min="2" max="2" width="17.42578125" style="109" customWidth="1"/>
    <col min="3" max="3" width="21.42578125" style="1" customWidth="1"/>
    <col min="4" max="4" width="54.5703125" style="1" customWidth="1"/>
    <col min="5" max="5" width="10.28515625" style="1" hidden="1" customWidth="1"/>
    <col min="6" max="6" width="36.140625" style="73" customWidth="1"/>
    <col min="7" max="7" width="13.140625" style="73" hidden="1" customWidth="1"/>
    <col min="8" max="8" width="22.7109375" style="1" customWidth="1"/>
    <col min="9" max="9" width="36.85546875" style="1" customWidth="1"/>
    <col min="10" max="16384" width="9.140625" style="1"/>
  </cols>
  <sheetData>
    <row r="1" spans="1:9" ht="15.75" customHeight="1">
      <c r="A1" s="157" t="s">
        <v>206</v>
      </c>
      <c r="B1" s="157"/>
      <c r="C1" s="157"/>
      <c r="D1" s="157"/>
      <c r="E1" s="120"/>
      <c r="F1" s="156" t="s">
        <v>0</v>
      </c>
      <c r="G1" s="126"/>
      <c r="H1" s="157" t="s">
        <v>1</v>
      </c>
      <c r="I1" s="157"/>
    </row>
    <row r="2" spans="1:9" s="4" customFormat="1" ht="18">
      <c r="A2" s="157"/>
      <c r="B2" s="157"/>
      <c r="C2" s="157"/>
      <c r="D2" s="157"/>
      <c r="E2" s="120"/>
      <c r="F2" s="156"/>
      <c r="G2" s="126"/>
      <c r="H2" s="157"/>
      <c r="I2" s="157"/>
    </row>
    <row r="3" spans="1:9" s="3" customFormat="1" ht="43.5">
      <c r="A3" s="86" t="s">
        <v>171</v>
      </c>
      <c r="B3" s="107" t="s">
        <v>126</v>
      </c>
      <c r="C3" s="69" t="s">
        <v>80</v>
      </c>
      <c r="D3" s="69" t="s">
        <v>81</v>
      </c>
      <c r="E3" s="121" t="s">
        <v>189</v>
      </c>
      <c r="F3" s="127" t="s">
        <v>119</v>
      </c>
      <c r="G3" s="127" t="s">
        <v>217</v>
      </c>
      <c r="H3" s="70" t="s">
        <v>125</v>
      </c>
      <c r="I3" s="70" t="s">
        <v>127</v>
      </c>
    </row>
    <row r="4" spans="1:9" s="2" customFormat="1" ht="12.75">
      <c r="A4" s="95" t="s">
        <v>186</v>
      </c>
      <c r="B4" s="108"/>
      <c r="C4" s="19"/>
      <c r="D4" s="16"/>
      <c r="E4" s="16" t="str">
        <f>IF((Table3[[#This Row],[Date received
(free text)]])&gt;'Public Holidays and Fees'!$J$4,"Y","N")</f>
        <v>N</v>
      </c>
      <c r="F4" s="68" t="str">
        <f>IF(Table3[[#This Row],[Date received
(free text)]]="","",(WORKDAY(Table3[[#This Row],[Date received
(free text)]]+30-1,1,'Public Holidays and Fees'!$D$4:$D$47)))</f>
        <v/>
      </c>
      <c r="G4" s="68" t="b">
        <f ca="1">IF(Table3[[#This Row],[Due Date
(automatically calculated)]]&lt;TODAY(),"Y")</f>
        <v>0</v>
      </c>
      <c r="H4" s="95"/>
      <c r="I4" s="95"/>
    </row>
  </sheetData>
  <mergeCells count="3">
    <mergeCell ref="F1:F2"/>
    <mergeCell ref="H1:I2"/>
    <mergeCell ref="A1:D2"/>
  </mergeCells>
  <phoneticPr fontId="9" type="noConversion"/>
  <conditionalFormatting sqref="A4:I4">
    <cfRule type="expression" dxfId="24" priority="3">
      <formula>$H4=""</formula>
    </cfRule>
  </conditionalFormatting>
  <dataValidations count="5">
    <dataValidation allowBlank="1" showInputMessage="1" showErrorMessage="1" promptTitle="WAIT!" prompt="This cell contains a predefined formula._x000a__x000a_If you have accidentally removed the formula, see the Table Formulas section of the Instructions tab for help." sqref="F4:G4" xr:uid="{00000000-0002-0000-0200-000000000000}"/>
    <dataValidation type="list" allowBlank="1" showInputMessage="1" showErrorMessage="1" errorTitle="Incorrect Entry" error="This cell will only accept the following options:_x000a__x000a_Partially amended_x000a_Refused amendment_x000a_Fully amended_x000a__x000a_Please select CANCEL and use the drop down arrow to the right of the cell to make your selection." sqref="H4" xr:uid="{00000000-0002-0000-0200-000001000000}">
      <formula1>"Fully amended,Partially amended,Refused amendment,Withdrawn/closed,Notation added"</formula1>
    </dataValidation>
    <dataValidation type="list" allowBlank="1" showInputMessage="1" showErrorMessage="1" errorTitle="Incorrect Entry" error="This cell will only accept the following options:_x000a__x000a_0 to 15 days_x000a_16 to 30 days_x000a_&gt;30 days_x000a__x000a_Please select CANCEL and use the drop down arrow to the right of the cell to make your selection." sqref="I4" xr:uid="{00000000-0002-0000-0200-000002000000}">
      <formula1>"determined within timeframe,determined but not within timeframe"</formula1>
    </dataValidation>
    <dataValidation type="textLength" operator="greaterThan" allowBlank="1" showInputMessage="1" showErrorMessage="1" errorTitle="ERROR" error="Thie cell is mandatory and must have a value._x000a__x000a_Please select CANCEL to continue." sqref="A4" xr:uid="{00000000-0002-0000-0200-000003000000}">
      <formula1>0</formula1>
    </dataValidation>
    <dataValidation type="custom" showInputMessage="1" showErrorMessage="1" errorTitle="ERROR" error="This cell is mandatory and required a value._x000a__x000a_Please select CANCEL to continue." promptTitle="WARNING!" prompt="Excel does not recognise dates separated with dots, (eg. 01.01.2022)._x000a__x000a_Please avoid using this format." sqref="B4" xr:uid="{00000000-0002-0000-0200-000004000000}">
      <formula1>B4&lt;=TODAY()+1</formula1>
    </dataValidation>
  </dataValidations>
  <pageMargins left="0.7" right="0.7" top="0.75" bottom="0.75" header="0.3" footer="0.3"/>
  <pageSetup paperSize="9" orientation="portrait" r:id="rId1"/>
  <headerFooter>
    <oddHeader>&amp;C&amp;"arial"&amp;12&amp;KA80000 OFFICIAL: Sensitive&amp;1#_x000D_</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
  <sheetViews>
    <sheetView showGridLines="0" workbookViewId="0">
      <pane ySplit="3" topLeftCell="A4" activePane="bottomLeft" state="frozen"/>
      <selection pane="bottomLeft" activeCell="A4" sqref="A4"/>
    </sheetView>
  </sheetViews>
  <sheetFormatPr defaultRowHeight="15.75"/>
  <cols>
    <col min="1" max="1" width="12.85546875" style="72" customWidth="1"/>
    <col min="2" max="2" width="17.140625" style="109" customWidth="1"/>
    <col min="3" max="3" width="18.42578125" style="1" customWidth="1"/>
    <col min="4" max="4" width="68.28515625" style="1" customWidth="1"/>
    <col min="5" max="5" width="11" style="1" hidden="1" customWidth="1"/>
    <col min="6" max="6" width="44.42578125" style="73" customWidth="1"/>
    <col min="7" max="7" width="25.5703125" style="73" customWidth="1"/>
    <col min="8" max="8" width="43.42578125" style="73" customWidth="1"/>
    <col min="9" max="9" width="15.85546875" style="130" customWidth="1"/>
    <col min="10" max="10" width="15.28515625" style="48" customWidth="1"/>
    <col min="11" max="16384" width="9.140625" style="1"/>
  </cols>
  <sheetData>
    <row r="1" spans="1:10" ht="15.75" customHeight="1">
      <c r="A1" s="159" t="s">
        <v>175</v>
      </c>
      <c r="B1" s="159"/>
      <c r="C1" s="159"/>
      <c r="D1" s="159"/>
      <c r="E1" s="159"/>
      <c r="F1" s="158" t="s">
        <v>0</v>
      </c>
      <c r="G1" s="159" t="s">
        <v>1</v>
      </c>
      <c r="H1" s="158" t="s">
        <v>18</v>
      </c>
      <c r="I1" s="158"/>
      <c r="J1" s="158"/>
    </row>
    <row r="2" spans="1:10" s="5" customFormat="1" ht="18">
      <c r="A2" s="159"/>
      <c r="B2" s="159"/>
      <c r="C2" s="159"/>
      <c r="D2" s="159"/>
      <c r="E2" s="159"/>
      <c r="F2" s="158"/>
      <c r="G2" s="159"/>
      <c r="H2" s="158"/>
      <c r="I2" s="158"/>
      <c r="J2" s="158"/>
    </row>
    <row r="3" spans="1:10" s="3" customFormat="1" ht="57.75" customHeight="1">
      <c r="A3" s="112" t="s">
        <v>171</v>
      </c>
      <c r="B3" s="113" t="s">
        <v>126</v>
      </c>
      <c r="C3" s="115" t="s">
        <v>80</v>
      </c>
      <c r="D3" s="115" t="s">
        <v>81</v>
      </c>
      <c r="E3" s="114" t="s">
        <v>190</v>
      </c>
      <c r="F3" s="116" t="s">
        <v>149</v>
      </c>
      <c r="G3" s="119" t="s">
        <v>125</v>
      </c>
      <c r="H3" s="117" t="s">
        <v>203</v>
      </c>
      <c r="I3" s="118" t="s">
        <v>202</v>
      </c>
      <c r="J3" s="118" t="s">
        <v>201</v>
      </c>
    </row>
    <row r="4" spans="1:10" s="2" customFormat="1" ht="12.75">
      <c r="A4" s="95" t="s">
        <v>186</v>
      </c>
      <c r="B4" s="108"/>
      <c r="C4" s="19"/>
      <c r="D4" s="19"/>
      <c r="E4" s="96" t="str">
        <f>IF((Table4[[#This Row],[Date received
(free text)]])&gt;'Public Holidays and Fees'!$J$4,"Y","N")</f>
        <v>N</v>
      </c>
      <c r="F4" s="68" t="str">
        <f>IF(Table4[[#This Row],[Date received
(free text)]]="","",(WORKDAY(Table4[[#This Row],[Date received
(free text)]]+14-1,1,'Public Holidays and Fees'!$D$4:$D$47)))</f>
        <v/>
      </c>
      <c r="G4" s="95"/>
      <c r="H4" s="95"/>
      <c r="I4" s="129"/>
      <c r="J4" s="128"/>
    </row>
  </sheetData>
  <mergeCells count="4">
    <mergeCell ref="H1:J2"/>
    <mergeCell ref="A1:E2"/>
    <mergeCell ref="F1:F2"/>
    <mergeCell ref="G1:G2"/>
  </mergeCells>
  <conditionalFormatting sqref="A4:J4">
    <cfRule type="expression" dxfId="12" priority="4">
      <formula>$G4=""</formula>
    </cfRule>
  </conditionalFormatting>
  <dataValidations count="8">
    <dataValidation type="list" allowBlank="1" showInputMessage="1" showErrorMessage="1" errorTitle="Incorret Entry" error="This cell will only accept the following options:_x000a__x000a_Decision confirmed_x000a_Decision varied_x000a_Decision reversed_x000a_Application withdrawn_x000a__x000a_Please select CANCEL and use the drop down arrow to the right of the cell to make your selection." sqref="G4" xr:uid="{00000000-0002-0000-0300-000000000000}">
      <formula1>"Decision confirmed,Decision varied,Decision reversed,Application withdrawn"</formula1>
    </dataValidation>
    <dataValidation type="textLength" operator="greaterThan" showInputMessage="1" showErrorMessage="1" errorTitle="ERROR" error="This is cell is mandatory and requires a value._x000a__x000a_Please select CANCEL to continue." sqref="A4" xr:uid="{00000000-0002-0000-0300-000001000000}">
      <formula1>0</formula1>
    </dataValidation>
    <dataValidation type="custom" showInputMessage="1" showErrorMessage="1" errorTitle="ERROR" error="This cell is mandatory and requires a value._x000a__x000a_Please select CANCEL to continue." promptTitle="WARNING" prompt="Excel does not recognise dates separated with dots, (eg. 01.01.2022)._x000a__x000a_Please avoid using this format." sqref="B4" xr:uid="{00000000-0002-0000-0300-000002000000}">
      <formula1>B4&lt;=TODAY()+1</formula1>
    </dataValidation>
    <dataValidation showErrorMessage="1" errorTitle="ERROR" error="This cell is mandatory and requires a value._x000a__x000a_Please select CANCEL to continue." sqref="E4" xr:uid="{00000000-0002-0000-0300-000003000000}"/>
    <dataValidation allowBlank="1" showInputMessage="1" showErrorMessage="1" promptTitle="WAIT!" prompt="This cell contains a predefined formula._x000a__x000a_If you have accidentally removed the formula, see the Table Formulas section of the Instructions tab for help." sqref="F4" xr:uid="{00000000-0002-0000-0300-000004000000}"/>
    <dataValidation allowBlank="1" errorTitle="Incorret Entry" error="This cell will only accept the following options:_x000a__x000a_Decision confirmed_x000a_Decision varied_x000a_Decision reversed_x000a_Application withdrawn_x000a__x000a_Please select CANCEL and use the drop down arrow to the right of the cell to make your selection." sqref="I4:J4" xr:uid="{00000000-0002-0000-0300-000005000000}"/>
    <dataValidation allowBlank="1" showErrorMessage="1" promptTitle="WAIT!" prompt="This cell contains a predefined formula._x000a__x000a_If you have accidentally removed the formula, see the Table Formulas section of the Instructions tab for help." sqref="J4" xr:uid="{00000000-0002-0000-0300-000006000000}"/>
    <dataValidation type="list" allowBlank="1" showInputMessage="1" errorTitle="Incorret Entry" error="This cell will only accept the following options:_x000a__x000a_Decision confirmed_x000a_Decision varied_x000a_Decision reversed_x000a_Application withdrawn_x000a__x000a_Please select CANCEL and use the drop down arrow to the right of the cell to make your selection." sqref="H4" xr:uid="{00000000-0002-0000-0300-000007000000}">
      <formula1>"Member of Parliament,Concession card holder,Financially disadvantaged,Other (discretion exercised)"</formula1>
    </dataValidation>
  </dataValidations>
  <pageMargins left="0.7" right="0.7" top="0.75" bottom="0.75" header="0.3" footer="0.3"/>
  <headerFooter>
    <oddHeader>&amp;C&amp;"arial"&amp;12&amp;KA80000 OFFICIAL: Sensitive&amp;1#_x000D_</oddHead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37"/>
  <sheetViews>
    <sheetView showGridLines="0" workbookViewId="0">
      <selection activeCell="D48" sqref="D48"/>
    </sheetView>
  </sheetViews>
  <sheetFormatPr defaultRowHeight="15"/>
  <cols>
    <col min="1" max="1" width="5" style="42" customWidth="1"/>
    <col min="2" max="2" width="2.140625" style="42" customWidth="1"/>
    <col min="3" max="3" width="42.85546875" style="39" customWidth="1"/>
    <col min="4" max="4" width="8.42578125" style="43" bestFit="1" customWidth="1"/>
    <col min="5" max="5" width="7.140625" style="42" customWidth="1"/>
    <col min="6" max="6" width="41.28515625" style="42" customWidth="1"/>
    <col min="7" max="7" width="8.42578125" style="42" bestFit="1" customWidth="1"/>
    <col min="8" max="8" width="7.140625" style="42" customWidth="1"/>
    <col min="9" max="9" width="41.7109375" style="42" customWidth="1"/>
    <col min="10" max="10" width="8.42578125" style="42" bestFit="1" customWidth="1"/>
    <col min="11" max="11" width="7.140625" style="42" customWidth="1"/>
    <col min="12" max="12" width="49.7109375" style="42" customWidth="1"/>
    <col min="13" max="13" width="13.85546875" style="42" customWidth="1"/>
    <col min="14" max="14" width="2.5703125" style="42" customWidth="1"/>
    <col min="15" max="16384" width="9.140625" style="42"/>
  </cols>
  <sheetData>
    <row r="1" spans="2:14" ht="35.25" customHeight="1">
      <c r="B1" s="97"/>
      <c r="C1" s="98" t="s">
        <v>237</v>
      </c>
      <c r="D1" s="99"/>
      <c r="E1" s="100"/>
      <c r="F1" s="100"/>
      <c r="G1" s="100"/>
      <c r="H1" s="100"/>
      <c r="I1" s="100"/>
      <c r="J1" s="100"/>
      <c r="K1" s="100"/>
      <c r="L1" s="100"/>
      <c r="M1" s="100"/>
      <c r="N1" s="97"/>
    </row>
    <row r="2" spans="2:14" ht="4.5" customHeight="1"/>
    <row r="3" spans="2:14" s="71" customFormat="1" ht="30.75" customHeight="1">
      <c r="C3" s="90" t="s">
        <v>181</v>
      </c>
      <c r="D3" s="91" t="s">
        <v>58</v>
      </c>
      <c r="E3" s="92"/>
      <c r="F3" s="90" t="s">
        <v>181</v>
      </c>
      <c r="G3" s="91" t="s">
        <v>58</v>
      </c>
      <c r="H3" s="92"/>
      <c r="I3" s="90" t="s">
        <v>181</v>
      </c>
      <c r="J3" s="91" t="s">
        <v>58</v>
      </c>
      <c r="K3" s="92"/>
      <c r="L3" s="93" t="s">
        <v>205</v>
      </c>
      <c r="M3" s="94" t="s">
        <v>58</v>
      </c>
    </row>
    <row r="4" spans="2:14" s="44" customFormat="1" ht="15" customHeight="1">
      <c r="C4" s="163" t="s">
        <v>173</v>
      </c>
      <c r="D4" s="163"/>
      <c r="F4" s="163" t="s">
        <v>23</v>
      </c>
      <c r="G4" s="163"/>
      <c r="I4" s="163" t="s">
        <v>104</v>
      </c>
      <c r="J4" s="163"/>
      <c r="L4" s="164" t="s">
        <v>174</v>
      </c>
      <c r="M4" s="164"/>
    </row>
    <row r="5" spans="2:14" ht="15.75">
      <c r="C5" s="135" t="s">
        <v>14</v>
      </c>
      <c r="D5" s="136"/>
      <c r="F5" s="135" t="s">
        <v>14</v>
      </c>
      <c r="G5" s="136"/>
      <c r="I5" s="37" t="s">
        <v>72</v>
      </c>
      <c r="J5" s="43">
        <f>COUNTIF((Table1[S20(1)(b),(c),(d)
]), "Applied")</f>
        <v>0</v>
      </c>
      <c r="L5" s="39" t="s">
        <v>20</v>
      </c>
      <c r="M5" s="43">
        <f>COUNTIF(Table3[Current year?],"Y")</f>
        <v>0</v>
      </c>
    </row>
    <row r="6" spans="2:14">
      <c r="C6" s="38" t="s">
        <v>19</v>
      </c>
      <c r="D6" s="46">
        <f>COUNTIFS(Table1[Current year?],"Y",(Table1[Applicant Type
(drop down)]), C6,(Table1[Application Type
(drop down)]), "Personal")</f>
        <v>0</v>
      </c>
      <c r="F6" s="37" t="s">
        <v>105</v>
      </c>
      <c r="G6" s="43">
        <f>COUNTIFS((Table1[Outcome
(drop down)]), F6,(Table1[Application Type
(drop down)]), "Personal")</f>
        <v>0</v>
      </c>
      <c r="I6" s="38" t="s">
        <v>7</v>
      </c>
      <c r="J6" s="46">
        <f>COUNTIF((Table1[Record does not exist or is lost]), "Applied")</f>
        <v>0</v>
      </c>
      <c r="L6" s="40" t="s">
        <v>21</v>
      </c>
      <c r="M6" s="46">
        <f>COUNTIFS(Table3[Date received
(free text)],"&lt;&gt;",Table3[Outcome
(drop down)],"")</f>
        <v>0</v>
      </c>
    </row>
    <row r="7" spans="2:14">
      <c r="C7" s="37" t="s">
        <v>4</v>
      </c>
      <c r="D7" s="47">
        <f>COUNTIFS(Table1[Current year?],"Y",(Table1[Applicant Type
(drop down)]), C7,(Table1[Application Type
(drop down)]), "Personal")</f>
        <v>0</v>
      </c>
      <c r="F7" s="38" t="s">
        <v>106</v>
      </c>
      <c r="G7" s="46">
        <f>COUNTIFS((Table1[Outcome
(drop down)]), F7,(Table1[Application Type
(drop down)]), "Personal")</f>
        <v>0</v>
      </c>
      <c r="L7" s="39" t="s">
        <v>114</v>
      </c>
      <c r="M7" s="43">
        <f ca="1">COUNTIFS(Table3[Outcome
(drop down)],"",Table3[Overdue?],"Y")</f>
        <v>0</v>
      </c>
    </row>
    <row r="8" spans="2:14" ht="15.75">
      <c r="C8" s="38" t="s">
        <v>5</v>
      </c>
      <c r="D8" s="46">
        <f>COUNTIFS(Table1[Current year?],"Y",(Table1[Applicant Type
(drop down)]), C8,(Table1[Application Type
(drop down)]), "Personal")</f>
        <v>0</v>
      </c>
      <c r="F8" s="37" t="s">
        <v>13</v>
      </c>
      <c r="G8" s="43">
        <f>COUNTIFS((Table1[Outcome
(drop down)]), F8,(Table1[Application Type
(drop down)]), "Personal")</f>
        <v>0</v>
      </c>
      <c r="I8" s="163" t="s">
        <v>24</v>
      </c>
      <c r="J8" s="163"/>
    </row>
    <row r="9" spans="2:14" ht="15.75">
      <c r="C9" s="37" t="s">
        <v>150</v>
      </c>
      <c r="D9" s="47">
        <f>COUNTIFS(Table1[Current year?],"Y",(Table1[Applicant Type
(drop down)]), C9,(Table1[Application Type
(drop down)]), "Personal")</f>
        <v>0</v>
      </c>
      <c r="F9" s="38" t="s">
        <v>6</v>
      </c>
      <c r="G9" s="46">
        <f>COUNTIFS((Table1[Outcome
(drop down)]), F9,(Table1[Application Type
(drop down)]), "Personal")</f>
        <v>0</v>
      </c>
      <c r="I9" s="37" t="s">
        <v>73</v>
      </c>
      <c r="J9" s="43">
        <f>COUNTIF((Table1[S15
]), "Applied")</f>
        <v>0</v>
      </c>
      <c r="L9" s="164" t="s">
        <v>116</v>
      </c>
      <c r="M9" s="164"/>
    </row>
    <row r="10" spans="2:14" ht="15.75">
      <c r="C10" s="137" t="s">
        <v>240</v>
      </c>
      <c r="D10" s="138">
        <f>SUM(D6:D9)</f>
        <v>0</v>
      </c>
      <c r="F10" s="37" t="s">
        <v>107</v>
      </c>
      <c r="G10" s="43">
        <f>COUNTIFS((Table1[Outcome
(drop down)]), F10,(Table1[Application Type
(drop down)]), "Personal")</f>
        <v>0</v>
      </c>
      <c r="I10" s="38" t="s">
        <v>8</v>
      </c>
      <c r="J10" s="46">
        <f>COUNTIF((Table1[S18(1)
]), "Applied")</f>
        <v>0</v>
      </c>
      <c r="L10" s="39" t="s">
        <v>15</v>
      </c>
      <c r="M10" s="43">
        <f>COUNTIF((Table3[Outcome
(drop down)]), L10)</f>
        <v>0</v>
      </c>
    </row>
    <row r="11" spans="2:14" ht="15.75">
      <c r="C11" s="135" t="s">
        <v>103</v>
      </c>
      <c r="D11" s="136"/>
      <c r="F11" s="135" t="s">
        <v>103</v>
      </c>
      <c r="G11" s="136"/>
      <c r="I11" s="37" t="s">
        <v>9</v>
      </c>
      <c r="J11" s="43">
        <f>COUNTIF((Table1[S18(2)(a)
]), "Applied")</f>
        <v>0</v>
      </c>
      <c r="L11" s="40" t="s">
        <v>16</v>
      </c>
      <c r="M11" s="46">
        <f>COUNTIF((Table3[Outcome
(drop down)]), L11)</f>
        <v>0</v>
      </c>
    </row>
    <row r="12" spans="2:14">
      <c r="C12" s="38" t="s">
        <v>19</v>
      </c>
      <c r="D12" s="46">
        <f>COUNTIFS(Table1[Current year?],"Y",(Table1[Applicant Type
(drop down)]), C12,(Table1[Application Type
(drop down)]), "Non-personal")</f>
        <v>0</v>
      </c>
      <c r="F12" s="37" t="s">
        <v>105</v>
      </c>
      <c r="G12" s="43">
        <f>COUNTIFS((Table1[Outcome
(drop down)]), F12,(Table1[Application Type
(drop down)]), "Non-personal")</f>
        <v>0</v>
      </c>
      <c r="I12" s="38" t="s">
        <v>10</v>
      </c>
      <c r="J12" s="46">
        <f>COUNTIF((Table1[S18(3)
]), "Applied")</f>
        <v>0</v>
      </c>
      <c r="L12" s="39" t="s">
        <v>17</v>
      </c>
      <c r="M12" s="43">
        <f>COUNTIF((Table3[Outcome
(drop down)]), L12)</f>
        <v>0</v>
      </c>
    </row>
    <row r="13" spans="2:14">
      <c r="C13" s="37" t="s">
        <v>4</v>
      </c>
      <c r="D13" s="47">
        <f>COUNTIFS(Table1[Current year?],"Y",(Table1[Applicant Type
(drop down)]), C13,(Table1[Application Type
(drop down)]), "Non-personal")</f>
        <v>0</v>
      </c>
      <c r="F13" s="38" t="s">
        <v>106</v>
      </c>
      <c r="G13" s="46">
        <f>COUNTIFS((Table1[Outcome
(drop down)]), F13,(Table1[Application Type
(drop down)]), "Non-personal")</f>
        <v>0</v>
      </c>
      <c r="I13" s="37" t="s">
        <v>11</v>
      </c>
      <c r="J13" s="43">
        <f>COUNTIF((Table1[S19(2)
]), "Applied")</f>
        <v>0</v>
      </c>
      <c r="L13" s="40" t="s">
        <v>107</v>
      </c>
      <c r="M13" s="46">
        <f>COUNTIF((Table3[Outcome
(drop down)]), L13)</f>
        <v>0</v>
      </c>
    </row>
    <row r="14" spans="2:14">
      <c r="C14" s="38" t="s">
        <v>5</v>
      </c>
      <c r="D14" s="46">
        <f>COUNTIFS(Table1[Current year?],"Y",(Table1[Applicant Type
(drop down)]), C14,(Table1[Application Type
(drop down)]), "Non-personal")</f>
        <v>0</v>
      </c>
      <c r="F14" s="37" t="s">
        <v>13</v>
      </c>
      <c r="G14" s="43">
        <f>COUNTIFS((Table1[Outcome
(drop down)]), F14,(Table1[Application Type
(drop down)]), "Non-personal")</f>
        <v>0</v>
      </c>
      <c r="I14" s="38" t="s">
        <v>184</v>
      </c>
      <c r="J14" s="46">
        <f>COUNTIF((Table1[S20(1)(a)
]), "Applied")</f>
        <v>0</v>
      </c>
      <c r="L14" s="39" t="s">
        <v>115</v>
      </c>
      <c r="M14" s="47">
        <f>COUNTIF((Table3[Outcome
(drop down)]), L14)</f>
        <v>0</v>
      </c>
    </row>
    <row r="15" spans="2:14">
      <c r="C15" s="37" t="s">
        <v>150</v>
      </c>
      <c r="D15" s="47">
        <f>COUNTIFS(Table1[Current year?],"Y",(Table1[Applicant Type
(drop down)]), C15,(Table1[Application Type
(drop down)]), "Non-personal")</f>
        <v>0</v>
      </c>
      <c r="F15" s="38" t="s">
        <v>6</v>
      </c>
      <c r="G15" s="46">
        <f>COUNTIFS((Table1[Outcome
(drop down)]), F15,(Table1[Application Type
(drop down)]), "Non-personal")</f>
        <v>0</v>
      </c>
      <c r="I15" s="37" t="s">
        <v>235</v>
      </c>
      <c r="J15" s="43">
        <f>COUNTIF((Table1[Exempt - Schedule 2]), "Applied")</f>
        <v>0</v>
      </c>
    </row>
    <row r="16" spans="2:14" ht="15.75">
      <c r="C16" s="137" t="s">
        <v>241</v>
      </c>
      <c r="D16" s="138">
        <f>SUM(D12:D15)</f>
        <v>0</v>
      </c>
      <c r="F16" s="37" t="s">
        <v>107</v>
      </c>
      <c r="G16" s="43">
        <f>COUNTIFS((Table1[Outcome
(drop down)]), F16,(Table1[Application Type
(drop down)]), "Non-personal")</f>
        <v>0</v>
      </c>
      <c r="I16" s="41"/>
      <c r="J16" s="47"/>
      <c r="L16" s="164" t="s">
        <v>129</v>
      </c>
      <c r="M16" s="164"/>
    </row>
    <row r="17" spans="3:13" ht="16.5" customHeight="1">
      <c r="C17" s="139" t="s">
        <v>242</v>
      </c>
      <c r="D17" s="140">
        <f>D16+D10</f>
        <v>0</v>
      </c>
      <c r="I17" s="163" t="s">
        <v>25</v>
      </c>
      <c r="J17" s="163"/>
      <c r="L17" s="39" t="s">
        <v>26</v>
      </c>
      <c r="M17" s="43">
        <f>(COUNTIF((Table3[Time taken to respond
(drop down)]), L17))</f>
        <v>0</v>
      </c>
    </row>
    <row r="18" spans="3:13" ht="15.75">
      <c r="F18" s="163" t="s">
        <v>232</v>
      </c>
      <c r="G18" s="163"/>
      <c r="I18" s="37" t="s">
        <v>130</v>
      </c>
      <c r="J18" s="43">
        <f>COUNTIF((Table1[1]), "&lt;&gt;")</f>
        <v>0</v>
      </c>
      <c r="L18" s="40" t="s">
        <v>27</v>
      </c>
      <c r="M18" s="46">
        <f>(COUNTIF((Table3[Time taken to respond
(drop down)]), L18))</f>
        <v>0</v>
      </c>
    </row>
    <row r="19" spans="3:13" ht="16.5" customHeight="1">
      <c r="C19" s="163" t="s">
        <v>243</v>
      </c>
      <c r="D19" s="163"/>
      <c r="F19" s="37" t="s">
        <v>113</v>
      </c>
      <c r="G19" s="43">
        <f>COUNTIFS(Table1[Outcome
(drop down)],"&lt;&gt;",(Table1[Determination status
(auto calculated)]), F19)</f>
        <v>0</v>
      </c>
      <c r="I19" s="38" t="s">
        <v>131</v>
      </c>
      <c r="J19" s="46">
        <f>COUNTIF((Table1[2]), "&lt;&gt;")</f>
        <v>0</v>
      </c>
    </row>
    <row r="20" spans="3:13" ht="15.75" customHeight="1">
      <c r="C20" s="40" t="s">
        <v>109</v>
      </c>
      <c r="D20" s="46">
        <f>COUNTIFS(Table1[Outcome
(drop down)],"",Table1[Application Type
(drop down)],"Personal")</f>
        <v>0</v>
      </c>
      <c r="F20" s="38" t="s">
        <v>112</v>
      </c>
      <c r="G20" s="46">
        <f>COUNTIFS(Table1[Outcome
(drop down)],"&lt;&gt;",(Table1[Determination status
(auto calculated)]), F20)</f>
        <v>0</v>
      </c>
      <c r="I20" s="37" t="s">
        <v>132</v>
      </c>
      <c r="J20" s="43">
        <f>COUNTIF((Table1[3]), "&lt;&gt;")</f>
        <v>0</v>
      </c>
      <c r="L20" s="160" t="s">
        <v>204</v>
      </c>
      <c r="M20" s="160" t="s">
        <v>58</v>
      </c>
    </row>
    <row r="21" spans="3:13" ht="15.75" customHeight="1">
      <c r="C21" s="39" t="s">
        <v>108</v>
      </c>
      <c r="D21" s="43">
        <f>COUNTIFS(Table1[Outcome
(drop down)],"",Table1[Application Type
(drop down)],"Non-personal")</f>
        <v>0</v>
      </c>
      <c r="F21" s="37" t="s">
        <v>236</v>
      </c>
      <c r="G21" s="43">
        <f>COUNTIFS(Table1[Outcome
(drop down)],"&lt;&gt;",(Table1[Determination status
(auto calculated)]), F21)</f>
        <v>0</v>
      </c>
      <c r="I21" s="38" t="s">
        <v>133</v>
      </c>
      <c r="J21" s="46">
        <f>COUNTIF((Table1[4]), "&lt;&gt;")</f>
        <v>0</v>
      </c>
      <c r="L21" s="160"/>
      <c r="M21" s="160"/>
    </row>
    <row r="22" spans="3:13" ht="15.75" customHeight="1">
      <c r="C22" s="49" t="s">
        <v>110</v>
      </c>
      <c r="D22" s="50">
        <f>COUNTIFS(Table1[Application Type
(drop down)],"Personal",Table1[Outcome
(drop down)],"",Table1[Unfinished status],"Y")</f>
        <v>0</v>
      </c>
      <c r="I22" s="37" t="s">
        <v>134</v>
      </c>
      <c r="J22" s="43">
        <f>COUNTIF((Table1[5]), "&lt;&gt;")</f>
        <v>0</v>
      </c>
      <c r="L22" s="165" t="s">
        <v>33</v>
      </c>
      <c r="M22" s="165"/>
    </row>
    <row r="23" spans="3:13" ht="15.75" customHeight="1">
      <c r="C23" s="48" t="s">
        <v>111</v>
      </c>
      <c r="D23" s="42">
        <f>COUNTIFS(Table1[Application Type
(drop down)],"Non-personal",Table1[Outcome
(drop down)],"",Table1[Unfinished status],"Y")</f>
        <v>0</v>
      </c>
      <c r="I23" s="38" t="s">
        <v>135</v>
      </c>
      <c r="J23" s="46">
        <f>COUNTIF((Table1[6]),"&lt;&gt;")</f>
        <v>0</v>
      </c>
      <c r="L23" s="39" t="s">
        <v>34</v>
      </c>
      <c r="M23" s="43">
        <f>COUNTIF(Table4[Current Year?],"Y")</f>
        <v>0</v>
      </c>
    </row>
    <row r="24" spans="3:13" ht="15.75" customHeight="1">
      <c r="C24" s="42"/>
      <c r="D24" s="42"/>
      <c r="I24" s="37" t="s">
        <v>136</v>
      </c>
      <c r="J24" s="43">
        <f>COUNTIF((Table1[7]), "&lt;&gt;")</f>
        <v>0</v>
      </c>
      <c r="L24" s="40" t="s">
        <v>35</v>
      </c>
      <c r="M24" s="46">
        <f>COUNTIF(Table4[Outcome
(drop down)], "Decision confirmed")</f>
        <v>0</v>
      </c>
    </row>
    <row r="25" spans="3:13" ht="15.75">
      <c r="C25" s="163" t="s">
        <v>22</v>
      </c>
      <c r="D25" s="163"/>
      <c r="I25" s="38" t="s">
        <v>137</v>
      </c>
      <c r="J25" s="46">
        <f>COUNTIF((Table1[8]), "&lt;&gt;")</f>
        <v>0</v>
      </c>
      <c r="L25" s="39" t="s">
        <v>36</v>
      </c>
      <c r="M25" s="43">
        <f>COUNTIF(Table4[Outcome
(drop down)], "Decision varied")</f>
        <v>0</v>
      </c>
    </row>
    <row r="26" spans="3:13">
      <c r="C26" s="39" t="s">
        <v>2</v>
      </c>
      <c r="D26" s="43">
        <f>COUNTIFS(Table1[Current year?],"Y",(Table1[Extension type
(drop down)]), C26)+COUNTIFS(Table1[Current year?],"Y",(Table1[Extension type
(drop down)]),"14(a) &amp; (b)")</f>
        <v>0</v>
      </c>
      <c r="I26" s="37" t="s">
        <v>138</v>
      </c>
      <c r="J26" s="43">
        <f>COUNTIF((Table1[9]), "&lt;&gt;")</f>
        <v>0</v>
      </c>
      <c r="L26" s="40" t="s">
        <v>37</v>
      </c>
      <c r="M26" s="46">
        <f>COUNTIF(Table4[Outcome
(drop down)], "Decision reversed")</f>
        <v>0</v>
      </c>
    </row>
    <row r="27" spans="3:13">
      <c r="C27" s="40" t="s">
        <v>3</v>
      </c>
      <c r="D27" s="46">
        <f>COUNTIFS(Table1[Current year?],"Y",(Table1[Extension type
(drop down)]), C27)+COUNTIFS(Table1[Current year?],"Y",(Table1[Extension type
(drop down)]),"14(a) &amp; (b)")</f>
        <v>0</v>
      </c>
      <c r="I27" s="38" t="s">
        <v>139</v>
      </c>
      <c r="J27" s="46">
        <f>COUNTIF((Table1[10]), "&lt;&gt;")</f>
        <v>0</v>
      </c>
      <c r="L27" s="39" t="s">
        <v>38</v>
      </c>
      <c r="M27" s="43">
        <f>COUNTIF(Table4[Outcome
(drop down)], "Application withdrawn")</f>
        <v>0</v>
      </c>
    </row>
    <row r="28" spans="3:13" ht="15.75" customHeight="1">
      <c r="C28" s="39" t="s">
        <v>12</v>
      </c>
      <c r="D28" s="43">
        <f>COUNTIFS(Table1[Current year?],"Y",(Table1[Extension type
(drop down)]), C28)</f>
        <v>0</v>
      </c>
      <c r="I28" s="37" t="s">
        <v>140</v>
      </c>
      <c r="J28" s="43">
        <f>COUNTIF((Table1[11]), "&lt;&gt;")</f>
        <v>0</v>
      </c>
    </row>
    <row r="29" spans="3:13" ht="18" customHeight="1">
      <c r="I29" s="38" t="s">
        <v>141</v>
      </c>
      <c r="J29" s="46">
        <f>COUNTIF((Table1[12]), "&lt;&gt;")</f>
        <v>0</v>
      </c>
      <c r="L29" s="162" t="s">
        <v>180</v>
      </c>
      <c r="M29" s="162" t="s">
        <v>58</v>
      </c>
    </row>
    <row r="30" spans="3:13">
      <c r="I30" s="37" t="s">
        <v>142</v>
      </c>
      <c r="J30" s="43">
        <f>COUNTIF((Table1[13]), "&lt;&gt;")</f>
        <v>0</v>
      </c>
      <c r="L30" s="162"/>
      <c r="M30" s="162"/>
    </row>
    <row r="31" spans="3:13" ht="15.75">
      <c r="I31" s="38" t="s">
        <v>143</v>
      </c>
      <c r="J31" s="46">
        <f>COUNTIF((Table1[14]), "&lt;&gt;")</f>
        <v>0</v>
      </c>
      <c r="L31" s="161" t="s">
        <v>28</v>
      </c>
      <c r="M31" s="161"/>
    </row>
    <row r="32" spans="3:13" ht="15.75" customHeight="1">
      <c r="I32" s="37" t="s">
        <v>144</v>
      </c>
      <c r="J32" s="43">
        <f>COUNTIF((Table1[15]), "&lt;&gt;")</f>
        <v>0</v>
      </c>
      <c r="L32" s="39" t="s">
        <v>117</v>
      </c>
      <c r="M32" s="45">
        <f>SUMIF((Table1[Current year?]),"Y",(Table1[Fees and charges assessed
(free text)]))+SUMIF((Table4[Current Year?]),"Y",Table4[Fees and charges assessed
(free text)])</f>
        <v>0</v>
      </c>
    </row>
    <row r="33" spans="9:13">
      <c r="I33" s="38" t="s">
        <v>145</v>
      </c>
      <c r="J33" s="46">
        <f>COUNTIF((Table1[16]), "&lt;&gt;")</f>
        <v>0</v>
      </c>
      <c r="L33" s="40" t="s">
        <v>29</v>
      </c>
      <c r="M33" s="131">
        <f>SUMIF((Table1[Current year?]),"Y",(Table1[Fees and charges collected
(free text)]))+SUMIF((Table4[Current Year?]),"Y",Table4[Fees and charges collected
(free text)])</f>
        <v>0</v>
      </c>
    </row>
    <row r="34" spans="9:13">
      <c r="I34" s="37" t="s">
        <v>146</v>
      </c>
      <c r="J34" s="43">
        <f>COUNTIF((Table1[17]),"&lt;&gt;")</f>
        <v>0</v>
      </c>
      <c r="L34" s="41" t="s">
        <v>30</v>
      </c>
      <c r="M34" s="47">
        <f>COUNTIFS(Table1[Current year?],"Y",(Table1[If fees were waived, select the reason for waiving.  If not, leave blank.
(drop down)]),"Member of Parliament")+COUNTIFS(Table4[Current Year?],"Y",(Table4[If fees were waived, select the reason for waiving.  If not, leave blank.
(drop down)]),"Member of Parliament")</f>
        <v>0</v>
      </c>
    </row>
    <row r="35" spans="9:13">
      <c r="I35" s="38" t="s">
        <v>147</v>
      </c>
      <c r="J35" s="46">
        <f>COUNTIF((Table1[18]), "&lt;&gt;")</f>
        <v>0</v>
      </c>
      <c r="L35" s="38" t="s">
        <v>208</v>
      </c>
      <c r="M35" s="46">
        <f>COUNTIFS(Table1[Current year?],"Y",(Table1[If fees were waived, select the reason for waiving.  If not, leave blank.
(drop down)]),"Concession card holder")+COUNTIFS(Table4[Current Year?],"Y",(Table4[If fees were waived, select the reason for waiving.  If not, leave blank.
(drop down)]),"Concession card holder")</f>
        <v>0</v>
      </c>
    </row>
    <row r="36" spans="9:13">
      <c r="I36" s="37" t="s">
        <v>148</v>
      </c>
      <c r="J36" s="43">
        <f>COUNTIF((Table1[19]), "&lt;&gt;")</f>
        <v>0</v>
      </c>
      <c r="L36" s="37" t="s">
        <v>31</v>
      </c>
      <c r="M36" s="43">
        <f>COUNTIFS(Table1[Current year?],"Y",(Table1[If fees were waived, select the reason for waiving.  If not, leave blank.
(drop down)]),"Financially disadvantaged")+COUNTIFS(Table4[Current Year?],"Y",(Table4[If fees were waived, select the reason for waiving.  If not, leave blank.
(drop down)]),"Financially disadvantaged")</f>
        <v>0</v>
      </c>
    </row>
    <row r="37" spans="9:13" ht="15.75">
      <c r="L37" s="38" t="s">
        <v>32</v>
      </c>
      <c r="M37" s="46">
        <f>COUNTIFS(Table1[Current year?],"Y",(Table1[If fees were waived, select the reason for waiving.  If not, leave blank.
(drop down)]),"Other (discretion exercised)")+COUNTIFS(Table4[Current Year?],"Y",(Table4[If fees were waived, select the reason for waiving.  If not, leave blank.
(drop down)]),"Other (discretion exercised)")</f>
        <v>0</v>
      </c>
    </row>
  </sheetData>
  <sheetProtection sheet="1" objects="1" scenarios="1" selectLockedCells="1" selectUnlockedCells="1"/>
  <mergeCells count="17">
    <mergeCell ref="L9:M9"/>
    <mergeCell ref="L22:M22"/>
    <mergeCell ref="L4:M4"/>
    <mergeCell ref="L16:M16"/>
    <mergeCell ref="L20:L21"/>
    <mergeCell ref="C4:D4"/>
    <mergeCell ref="I4:J4"/>
    <mergeCell ref="I8:J8"/>
    <mergeCell ref="I17:J17"/>
    <mergeCell ref="C19:D19"/>
    <mergeCell ref="F4:G4"/>
    <mergeCell ref="F18:G18"/>
    <mergeCell ref="M20:M21"/>
    <mergeCell ref="L31:M31"/>
    <mergeCell ref="L29:L30"/>
    <mergeCell ref="M29:M30"/>
    <mergeCell ref="C25:D25"/>
  </mergeCells>
  <pageMargins left="0.7" right="0.7" top="0.75" bottom="0.75" header="0.3" footer="0.3"/>
  <pageSetup paperSize="9" orientation="portrait" r:id="rId1"/>
  <headerFooter>
    <oddHeader>&amp;C&amp;"arial"&amp;12&amp;KA80000 OFFICIAL: Sensitive&amp;1#_x000D_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47"/>
  <sheetViews>
    <sheetView showGridLines="0" showRowColHeaders="0" workbookViewId="0">
      <selection activeCell="E52" sqref="E52"/>
    </sheetView>
  </sheetViews>
  <sheetFormatPr defaultRowHeight="14.25"/>
  <cols>
    <col min="1" max="1" width="4.28515625" style="6" customWidth="1"/>
    <col min="2" max="2" width="2" style="6" customWidth="1"/>
    <col min="3" max="3" width="21.42578125" style="6" customWidth="1"/>
    <col min="4" max="4" width="16.5703125" style="6" customWidth="1"/>
    <col min="5" max="5" width="9.140625" style="6"/>
    <col min="6" max="6" width="22.42578125" style="6" bestFit="1" customWidth="1"/>
    <col min="7" max="7" width="15.5703125" style="6" bestFit="1" customWidth="1"/>
    <col min="8" max="8" width="9.140625" style="6"/>
    <col min="9" max="9" width="28" style="6" customWidth="1"/>
    <col min="10" max="10" width="14.7109375" style="6" customWidth="1"/>
    <col min="11" max="11" width="3" style="6" customWidth="1"/>
    <col min="12" max="16384" width="9.140625" style="6"/>
  </cols>
  <sheetData>
    <row r="1" spans="2:11" ht="33.75" customHeight="1">
      <c r="B1" s="101"/>
      <c r="C1" s="102" t="s">
        <v>238</v>
      </c>
      <c r="D1" s="101"/>
      <c r="E1" s="101"/>
      <c r="F1" s="101"/>
      <c r="G1" s="101"/>
      <c r="H1" s="101"/>
      <c r="I1" s="101"/>
      <c r="J1" s="101"/>
      <c r="K1" s="101"/>
    </row>
    <row r="2" spans="2:11" ht="6.75" customHeight="1"/>
    <row r="3" spans="2:11" ht="18">
      <c r="C3" s="8" t="s">
        <v>177</v>
      </c>
      <c r="D3" s="87" t="s">
        <v>59</v>
      </c>
      <c r="F3" s="8" t="s">
        <v>83</v>
      </c>
      <c r="G3" s="8" t="s">
        <v>84</v>
      </c>
      <c r="I3" s="8" t="s">
        <v>182</v>
      </c>
      <c r="J3" s="87" t="s">
        <v>59</v>
      </c>
    </row>
    <row r="4" spans="2:11">
      <c r="C4" s="6" t="s">
        <v>62</v>
      </c>
      <c r="D4" s="7">
        <v>45286</v>
      </c>
      <c r="F4" s="6" t="s">
        <v>85</v>
      </c>
      <c r="G4" s="6">
        <v>58.8</v>
      </c>
      <c r="I4" s="6" t="s">
        <v>179</v>
      </c>
      <c r="J4" s="7">
        <v>44743</v>
      </c>
    </row>
    <row r="5" spans="2:11">
      <c r="C5" s="6" t="s">
        <v>61</v>
      </c>
      <c r="D5" s="7">
        <v>45285</v>
      </c>
      <c r="F5" s="6" t="s">
        <v>86</v>
      </c>
      <c r="G5" s="6">
        <v>0.25</v>
      </c>
      <c r="I5" s="88" t="s">
        <v>178</v>
      </c>
      <c r="J5" s="89">
        <v>45107</v>
      </c>
    </row>
    <row r="6" spans="2:11">
      <c r="C6" s="6" t="s">
        <v>60</v>
      </c>
      <c r="D6" s="7">
        <v>45201</v>
      </c>
      <c r="F6" s="6" t="s">
        <v>87</v>
      </c>
      <c r="G6" s="6">
        <v>8.6999999999999993</v>
      </c>
      <c r="J6" s="7"/>
    </row>
    <row r="7" spans="2:11">
      <c r="C7" s="6" t="s">
        <v>249</v>
      </c>
      <c r="D7" s="7">
        <v>45089</v>
      </c>
      <c r="F7" s="6" t="s">
        <v>88</v>
      </c>
      <c r="G7" s="6">
        <v>39</v>
      </c>
      <c r="J7" s="7"/>
    </row>
    <row r="8" spans="2:11">
      <c r="C8" s="6" t="s">
        <v>191</v>
      </c>
      <c r="D8" s="7">
        <v>45041</v>
      </c>
      <c r="J8" s="7"/>
    </row>
    <row r="9" spans="2:11">
      <c r="C9" s="6" t="s">
        <v>68</v>
      </c>
      <c r="D9" s="7">
        <v>45026</v>
      </c>
      <c r="J9" s="7"/>
    </row>
    <row r="10" spans="2:11">
      <c r="C10" s="6" t="s">
        <v>67</v>
      </c>
      <c r="D10" s="7">
        <v>45024</v>
      </c>
      <c r="J10" s="7"/>
    </row>
    <row r="11" spans="2:11">
      <c r="C11" s="6" t="s">
        <v>66</v>
      </c>
      <c r="D11" s="7">
        <v>45023</v>
      </c>
      <c r="J11" s="7"/>
    </row>
    <row r="12" spans="2:11">
      <c r="C12" s="6" t="s">
        <v>65</v>
      </c>
      <c r="D12" s="7">
        <v>44998</v>
      </c>
      <c r="J12" s="7"/>
    </row>
    <row r="13" spans="2:11">
      <c r="C13" s="6" t="s">
        <v>64</v>
      </c>
      <c r="D13" s="7">
        <v>44952</v>
      </c>
      <c r="J13" s="7"/>
    </row>
    <row r="14" spans="2:11">
      <c r="C14" s="6" t="s">
        <v>63</v>
      </c>
      <c r="D14" s="7">
        <v>44928</v>
      </c>
      <c r="J14" s="7"/>
    </row>
    <row r="15" spans="2:11">
      <c r="C15" s="6" t="s">
        <v>62</v>
      </c>
      <c r="D15" s="7">
        <v>44921</v>
      </c>
      <c r="J15" s="7"/>
    </row>
    <row r="16" spans="2:11">
      <c r="C16" s="6" t="s">
        <v>61</v>
      </c>
      <c r="D16" s="7">
        <v>44920</v>
      </c>
    </row>
    <row r="17" spans="3:4">
      <c r="C17" s="6" t="s">
        <v>60</v>
      </c>
      <c r="D17" s="7">
        <v>44837</v>
      </c>
    </row>
    <row r="18" spans="3:4">
      <c r="C18" s="6" t="s">
        <v>69</v>
      </c>
      <c r="D18" s="7">
        <v>44725</v>
      </c>
    </row>
    <row r="19" spans="3:4">
      <c r="C19" s="6" t="s">
        <v>191</v>
      </c>
      <c r="D19" s="7">
        <v>44676</v>
      </c>
    </row>
    <row r="20" spans="3:4">
      <c r="C20" s="6" t="s">
        <v>68</v>
      </c>
      <c r="D20" s="7">
        <v>44669</v>
      </c>
    </row>
    <row r="21" spans="3:4">
      <c r="C21" s="6" t="s">
        <v>67</v>
      </c>
      <c r="D21" s="7">
        <v>44667</v>
      </c>
    </row>
    <row r="22" spans="3:4">
      <c r="C22" s="6" t="s">
        <v>66</v>
      </c>
      <c r="D22" s="7">
        <v>44666</v>
      </c>
    </row>
    <row r="23" spans="3:4">
      <c r="C23" s="6" t="s">
        <v>65</v>
      </c>
      <c r="D23" s="7">
        <v>44634</v>
      </c>
    </row>
    <row r="24" spans="3:4">
      <c r="C24" s="6" t="s">
        <v>64</v>
      </c>
      <c r="D24" s="7">
        <v>44587</v>
      </c>
    </row>
    <row r="25" spans="3:4">
      <c r="C25" s="6" t="s">
        <v>63</v>
      </c>
      <c r="D25" s="7">
        <v>44564</v>
      </c>
    </row>
    <row r="26" spans="3:4">
      <c r="C26" s="6" t="s">
        <v>62</v>
      </c>
      <c r="D26" s="7">
        <v>44558</v>
      </c>
    </row>
    <row r="27" spans="3:4">
      <c r="C27" s="6" t="s">
        <v>61</v>
      </c>
      <c r="D27" s="7">
        <v>44557</v>
      </c>
    </row>
    <row r="28" spans="3:4">
      <c r="C28" s="6" t="s">
        <v>60</v>
      </c>
      <c r="D28" s="7">
        <v>44473</v>
      </c>
    </row>
    <row r="29" spans="3:4">
      <c r="C29" s="6" t="s">
        <v>69</v>
      </c>
      <c r="D29" s="7">
        <v>44361</v>
      </c>
    </row>
    <row r="30" spans="3:4">
      <c r="C30" s="6" t="s">
        <v>191</v>
      </c>
      <c r="D30" s="7">
        <v>44312</v>
      </c>
    </row>
    <row r="31" spans="3:4">
      <c r="C31" s="6" t="s">
        <v>68</v>
      </c>
      <c r="D31" s="7">
        <v>44291</v>
      </c>
    </row>
    <row r="32" spans="3:4">
      <c r="C32" s="6" t="s">
        <v>67</v>
      </c>
      <c r="D32" s="7">
        <v>44289</v>
      </c>
    </row>
    <row r="33" spans="3:4">
      <c r="C33" s="6" t="s">
        <v>66</v>
      </c>
      <c r="D33" s="7">
        <v>44288</v>
      </c>
    </row>
    <row r="34" spans="3:4">
      <c r="C34" s="7" t="s">
        <v>65</v>
      </c>
      <c r="D34" s="7">
        <v>44263</v>
      </c>
    </row>
    <row r="35" spans="3:4">
      <c r="C35" s="7" t="s">
        <v>64</v>
      </c>
      <c r="D35" s="7">
        <v>44222</v>
      </c>
    </row>
    <row r="36" spans="3:4">
      <c r="C36" s="6" t="s">
        <v>63</v>
      </c>
      <c r="D36" s="7">
        <v>44197</v>
      </c>
    </row>
    <row r="37" spans="3:4">
      <c r="C37" s="6" t="s">
        <v>61</v>
      </c>
      <c r="D37" s="7">
        <v>44190</v>
      </c>
    </row>
    <row r="38" spans="3:4">
      <c r="C38" s="6" t="s">
        <v>62</v>
      </c>
      <c r="D38" s="7">
        <v>44191</v>
      </c>
    </row>
    <row r="39" spans="3:4">
      <c r="C39" s="6" t="s">
        <v>60</v>
      </c>
      <c r="D39" s="7">
        <v>44109</v>
      </c>
    </row>
    <row r="40" spans="3:4">
      <c r="C40" s="6" t="s">
        <v>69</v>
      </c>
      <c r="D40" s="7">
        <v>43990</v>
      </c>
    </row>
    <row r="41" spans="3:4">
      <c r="C41" s="6" t="s">
        <v>191</v>
      </c>
      <c r="D41" s="7">
        <v>43946</v>
      </c>
    </row>
    <row r="42" spans="3:4">
      <c r="C42" s="6" t="s">
        <v>68</v>
      </c>
      <c r="D42" s="7">
        <v>43934</v>
      </c>
    </row>
    <row r="43" spans="3:4">
      <c r="C43" s="6" t="s">
        <v>67</v>
      </c>
      <c r="D43" s="7">
        <v>43932</v>
      </c>
    </row>
    <row r="44" spans="3:4">
      <c r="C44" s="6" t="s">
        <v>66</v>
      </c>
      <c r="D44" s="7">
        <v>43931</v>
      </c>
    </row>
    <row r="45" spans="3:4">
      <c r="C45" s="7" t="s">
        <v>65</v>
      </c>
      <c r="D45" s="7">
        <v>43899</v>
      </c>
    </row>
    <row r="46" spans="3:4">
      <c r="C46" s="7" t="s">
        <v>64</v>
      </c>
      <c r="D46" s="7">
        <v>43887</v>
      </c>
    </row>
    <row r="47" spans="3:4">
      <c r="C47" s="6" t="s">
        <v>63</v>
      </c>
      <c r="D47" s="7">
        <v>43831</v>
      </c>
    </row>
  </sheetData>
  <sheetProtection sheet="1" objects="1" scenarios="1" selectLockedCells="1" selectUnlockedCells="1"/>
  <sortState xmlns:xlrd2="http://schemas.microsoft.com/office/spreadsheetml/2017/richdata2" ref="C7:D18">
    <sortCondition descending="1" ref="D4:D15"/>
  </sortState>
  <pageMargins left="0.7" right="0.7" top="0.75" bottom="0.75" header="0.3" footer="0.3"/>
  <pageSetup paperSize="9" orientation="portrait" r:id="rId1"/>
  <headerFooter>
    <oddHeader>&amp;C&amp;"arial"&amp;12&amp;KA80000 OFFICIAL: Sensitive&amp;1#_x000D_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36A87826006448A9FE8C6DC279F299" ma:contentTypeVersion="14" ma:contentTypeDescription="Create a new document." ma:contentTypeScope="" ma:versionID="2247f07b17f860c8eea4d73a69c56458">
  <xsd:schema xmlns:xsd="http://www.w3.org/2001/XMLSchema" xmlns:xs="http://www.w3.org/2001/XMLSchema" xmlns:p="http://schemas.microsoft.com/office/2006/metadata/properties" xmlns:ns3="f812374d-ae58-4873-a5df-8fc38c27c3d6" xmlns:ns4="05c29bad-222d-4652-86ec-9049bdeb16e0" targetNamespace="http://schemas.microsoft.com/office/2006/metadata/properties" ma:root="true" ma:fieldsID="dccdb60c6d23df761d3f92ae40c05a99" ns3:_="" ns4:_="">
    <xsd:import namespace="f812374d-ae58-4873-a5df-8fc38c27c3d6"/>
    <xsd:import namespace="05c29bad-222d-4652-86ec-9049bdeb16e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12374d-ae58-4873-a5df-8fc38c27c3d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29bad-222d-4652-86ec-9049bdeb16e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etadata xmlns="http://www.objective.com/ecm/document/metadata/8E9FAE793A5B416C8588B7725A49662D" version="1.0.0">
  <systemFields>
    <field name="Objective-Id">
      <value order="0">A688471</value>
    </field>
    <field name="Objective-Title">
      <value order="0">FOI Data Collation Spreadsheet 2022-23</value>
    </field>
    <field name="Objective-Description">
      <value order="0"/>
    </field>
    <field name="Objective-CreationStamp">
      <value order="0">2021-05-10T03:06:38Z</value>
    </field>
    <field name="Objective-IsApproved">
      <value order="0">false</value>
    </field>
    <field name="Objective-IsPublished">
      <value order="0">true</value>
    </field>
    <field name="Objective-DatePublished">
      <value order="0">2023-02-02T06:21:03Z</value>
    </field>
    <field name="Objective-ModificationStamp">
      <value order="0">2023-02-02T06:21:03Z</value>
    </field>
    <field name="Objective-Owner">
      <value order="0">Adam Ryan</value>
    </field>
    <field name="Objective-Path">
      <value order="0">Objective Global Folder:AGD Corporate:FINANCE PEOPLE &amp; PERFORMANCE DIVISION:State Records SA:Business Records:Freedom of Information Administration:Reporting:FOI Annual Report:FOI Data Collation Spreadsheet</value>
    </field>
    <field name="Objective-Parent">
      <value order="0">FOI Data Collation Spreadsheet</value>
    </field>
    <field name="Objective-State">
      <value order="0">Published</value>
    </field>
    <field name="Objective-VersionId">
      <value order="0">vA1240023</value>
    </field>
    <field name="Objective-Version">
      <value order="0">5.0</value>
    </field>
    <field name="Objective-VersionNumber">
      <value order="0">5</value>
    </field>
    <field name="Objective-VersionComment">
      <value order="0"/>
    </field>
    <field name="Objective-FileNumber">
      <value order="0">SRSA19-00419</value>
    </field>
    <field name="Objective-Classification">
      <value order="0">Official</value>
    </field>
    <field name="Objective-Caveats">
      <value order="0"/>
    </field>
  </systemFields>
  <catalogues>
    <catalogue name="State Records Document Type Catalogue" type="type" ori="id:cA24">
      <field name="Objective-State Records Document ID">
        <value order="0">21-01967</value>
      </field>
      <field name="Objective-External Reference">
        <value order="0"/>
      </field>
      <field name="Objective-Date Created">
        <value order="0"/>
      </field>
      <field name="Objective-Date Received">
        <value order="0"/>
      </field>
      <field name="Objective-Date of Document">
        <value order="0"/>
      </field>
      <field name="Objective-Author">
        <value order="0"/>
      </field>
      <field name="Objective-Author Type">
        <value order="0"/>
      </field>
      <field name="Objective-Document Type">
        <value order="0"/>
      </field>
      <field name="Objective-Information Management Marker">
        <value order="0"/>
      </field>
    </catalogue>
  </catalogues>
</metadata>
</file>

<file path=customXml/itemProps1.xml><?xml version="1.0" encoding="utf-8"?>
<ds:datastoreItem xmlns:ds="http://schemas.openxmlformats.org/officeDocument/2006/customXml" ds:itemID="{41914FC5-4F75-4469-9F96-11001CE86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12374d-ae58-4873-a5df-8fc38c27c3d6"/>
    <ds:schemaRef ds:uri="05c29bad-222d-4652-86ec-9049bdeb16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59EC80-6FAF-4E96-A177-186925E40465}">
  <ds:schemaRefs>
    <ds:schemaRef ds:uri="http://schemas.microsoft.com/sharepoint/v3/contenttype/forms"/>
  </ds:schemaRefs>
</ds:datastoreItem>
</file>

<file path=customXml/itemProps3.xml><?xml version="1.0" encoding="utf-8"?>
<ds:datastoreItem xmlns:ds="http://schemas.openxmlformats.org/officeDocument/2006/customXml" ds:itemID="{143EA85F-F665-471C-85EB-7C0A647922E5}">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05c29bad-222d-4652-86ec-9049bdeb16e0"/>
    <ds:schemaRef ds:uri="f812374d-ae58-4873-a5df-8fc38c27c3d6"/>
    <ds:schemaRef ds:uri="http://www.w3.org/XML/1998/namespace"/>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8E9FAE793A5B416C8588B7725A4966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Access</vt:lpstr>
      <vt:lpstr>Amendment</vt:lpstr>
      <vt:lpstr>Internal Review</vt:lpstr>
      <vt:lpstr>Reporting Summary</vt:lpstr>
      <vt:lpstr>Public Holidays and Fees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Adam.Ryan@sa.gov.au</dc:creator>
  <cp:lastModifiedBy>Adam Ryan</cp:lastModifiedBy>
  <dcterms:created xsi:type="dcterms:W3CDTF">2021-04-30T04:14:15Z</dcterms:created>
  <dcterms:modified xsi:type="dcterms:W3CDTF">2023-03-08T04:41:52Z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A688471</vt:lpwstr>
  </property>
  <property fmtid="{D5CDD505-2E9C-101B-9397-08002B2CF9AE}" pid="4" name="Objective-Title">
    <vt:lpwstr>FOI Data Collation Spreadsheet 2022-23</vt:lpwstr>
  </property>
  <property fmtid="{D5CDD505-2E9C-101B-9397-08002B2CF9AE}" pid="5" name="Objective-Description">
    <vt:lpwstr/>
  </property>
  <property fmtid="{D5CDD505-2E9C-101B-9397-08002B2CF9AE}" pid="6" name="Objective-CreationStamp">
    <vt:filetime>2021-05-10T03:06:38Z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2023-02-02T06:21:03Z</vt:filetime>
  </property>
  <property fmtid="{D5CDD505-2E9C-101B-9397-08002B2CF9AE}" pid="10" name="Objective-ModificationStamp">
    <vt:filetime>2023-02-02T06:21:03Z</vt:filetime>
  </property>
  <property fmtid="{D5CDD505-2E9C-101B-9397-08002B2CF9AE}" pid="11" name="Objective-Owner">
    <vt:lpwstr>Adam Ryan</vt:lpwstr>
  </property>
  <property fmtid="{D5CDD505-2E9C-101B-9397-08002B2CF9AE}" pid="12" name="Objective-Path">
    <vt:lpwstr>Objective Global Folder:AGD Corporate:FINANCE PEOPLE &amp; PERFORMANCE DIVISION:State Records SA:Business Records:Freedom of Information Administration:Reporting:FOI Annual Report:FOI Data Collation Spreadsheet</vt:lpwstr>
  </property>
  <property fmtid="{D5CDD505-2E9C-101B-9397-08002B2CF9AE}" pid="13" name="Objective-Parent">
    <vt:lpwstr>FOI Data Collation Spreadsheet</vt:lpwstr>
  </property>
  <property fmtid="{D5CDD505-2E9C-101B-9397-08002B2CF9AE}" pid="14" name="Objective-State">
    <vt:lpwstr>Published</vt:lpwstr>
  </property>
  <property fmtid="{D5CDD505-2E9C-101B-9397-08002B2CF9AE}" pid="15" name="Objective-VersionId">
    <vt:lpwstr>vA1240023</vt:lpwstr>
  </property>
  <property fmtid="{D5CDD505-2E9C-101B-9397-08002B2CF9AE}" pid="16" name="Objective-Version">
    <vt:lpwstr>5.0</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SRSA19-00419</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State Records Document ID">
    <vt:lpwstr>21-01967</vt:lpwstr>
  </property>
  <property fmtid="{D5CDD505-2E9C-101B-9397-08002B2CF9AE}" pid="23" name="Objective-External Reference">
    <vt:lpwstr/>
  </property>
  <property fmtid="{D5CDD505-2E9C-101B-9397-08002B2CF9AE}" pid="24" name="Objective-Date Created">
    <vt:lpwstr/>
  </property>
  <property fmtid="{D5CDD505-2E9C-101B-9397-08002B2CF9AE}" pid="25" name="Objective-Date Received">
    <vt:lpwstr/>
  </property>
  <property fmtid="{D5CDD505-2E9C-101B-9397-08002B2CF9AE}" pid="26" name="Objective-Date of Document">
    <vt:lpwstr/>
  </property>
  <property fmtid="{D5CDD505-2E9C-101B-9397-08002B2CF9AE}" pid="27" name="Objective-Author">
    <vt:lpwstr/>
  </property>
  <property fmtid="{D5CDD505-2E9C-101B-9397-08002B2CF9AE}" pid="28" name="Objective-Author Type">
    <vt:lpwstr/>
  </property>
  <property fmtid="{D5CDD505-2E9C-101B-9397-08002B2CF9AE}" pid="29" name="Objective-Document Type">
    <vt:lpwstr/>
  </property>
  <property fmtid="{D5CDD505-2E9C-101B-9397-08002B2CF9AE}" pid="30" name="Objective-Information Management Marker">
    <vt:lpwstr/>
  </property>
  <property fmtid="{D5CDD505-2E9C-101B-9397-08002B2CF9AE}" pid="31" name="MSIP_Label_96b289ea-b729-4a61-8be4-4c9b5998d087_Enabled">
    <vt:lpwstr>true</vt:lpwstr>
  </property>
  <property fmtid="{D5CDD505-2E9C-101B-9397-08002B2CF9AE}" pid="32" name="MSIP_Label_96b289ea-b729-4a61-8be4-4c9b5998d087_SetDate">
    <vt:lpwstr>2022-02-22T02:06:43Z</vt:lpwstr>
  </property>
  <property fmtid="{D5CDD505-2E9C-101B-9397-08002B2CF9AE}" pid="33" name="MSIP_Label_96b289ea-b729-4a61-8be4-4c9b5998d087_Method">
    <vt:lpwstr>Privileged</vt:lpwstr>
  </property>
  <property fmtid="{D5CDD505-2E9C-101B-9397-08002B2CF9AE}" pid="34" name="MSIP_Label_96b289ea-b729-4a61-8be4-4c9b5998d087_Name">
    <vt:lpwstr>-OFFICIAL Sensitive</vt:lpwstr>
  </property>
  <property fmtid="{D5CDD505-2E9C-101B-9397-08002B2CF9AE}" pid="35" name="MSIP_Label_96b289ea-b729-4a61-8be4-4c9b5998d087_SiteId">
    <vt:lpwstr>bda528f7-fca9-432f-bc98-bd7e90d40906</vt:lpwstr>
  </property>
  <property fmtid="{D5CDD505-2E9C-101B-9397-08002B2CF9AE}" pid="36" name="MSIP_Label_96b289ea-b729-4a61-8be4-4c9b5998d087_ActionId">
    <vt:lpwstr>64a0ad24-d227-4fa1-a1a9-e22fe87ba870</vt:lpwstr>
  </property>
  <property fmtid="{D5CDD505-2E9C-101B-9397-08002B2CF9AE}" pid="37" name="MSIP_Label_96b289ea-b729-4a61-8be4-4c9b5998d087_ContentBits">
    <vt:lpwstr>1</vt:lpwstr>
  </property>
  <property fmtid="{D5CDD505-2E9C-101B-9397-08002B2CF9AE}" pid="38" name="ContentTypeId">
    <vt:lpwstr>0x010100A836A87826006448A9FE8C6DC279F299</vt:lpwstr>
  </property>
</Properties>
</file>